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0157dcca1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6590226f3414c21"/>
    <x:sheet xmlns:r="http://schemas.openxmlformats.org/officeDocument/2006/relationships" name="REVENUE VS TARGET" sheetId="2" r:id="R857e7af06b9640a6"/>
    <x:sheet xmlns:r="http://schemas.openxmlformats.org/officeDocument/2006/relationships" name="WEEKLY SALES" sheetId="3" r:id="Rf99bacdcfc634705"/>
    <x:sheet xmlns:r="http://schemas.openxmlformats.org/officeDocument/2006/relationships" name="PIPELINE BRIDGE" sheetId="4" r:id="Rfa4b538e17554c57"/>
    <x:sheet xmlns:r="http://schemas.openxmlformats.org/officeDocument/2006/relationships" name="PIPELINE HEALTH" sheetId="5" r:id="R1bd6d4d842614e57"/>
    <x:sheet xmlns:r="http://schemas.openxmlformats.org/officeDocument/2006/relationships" name="BOARD EXPORT" sheetId="6" r:id="Rc06f477efcfa40de"/>
    <x:sheet xmlns:r="http://schemas.openxmlformats.org/officeDocument/2006/relationships" name="RAW DEALS" sheetId="7" r:id="R8c64ba4c5e7a4131"/>
    <x:sheet xmlns:r="http://schemas.openxmlformats.org/officeDocument/2006/relationships" name="STAGE MAP" sheetId="8" r:id="R4e88a1615d144c10"/>
    <x:sheet xmlns:r="http://schemas.openxmlformats.org/officeDocument/2006/relationships" name="WEEKLY SNAPSHOTS" sheetId="9" r:id="Rc93fea3513c24602"/>
    <x:sheet xmlns:r="http://schemas.openxmlformats.org/officeDocument/2006/relationships" name="KPI DICTIONARY" sheetId="10" r:id="Rb4d36df3221f4bf9"/>
    <x:sheet xmlns:r="http://schemas.openxmlformats.org/officeDocument/2006/relationships" name="QA CHECKLIST" sheetId="11" r:id="R4073688307194d5f"/>
    <x:sheet xmlns:r="http://schemas.openxmlformats.org/officeDocument/2006/relationships" name="MEETING AGENDA" sheetId="12" r:id="Rf457b438a02e466d"/>
    <x:sheet xmlns:r="http://schemas.openxmlformats.org/officeDocument/2006/relationships" name="COMMENTARY" sheetId="13" r:id="R9b5bd8329d664d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$#,##0;($#,##0);-"/>
    <x:numFmt numFmtId="202" formatCode="0"/>
    <x:numFmt numFmtId="203" formatCode="0.0x"/>
    <x:numFmt numFmtId="204" formatCode="0.0%"/>
  </x:numFmts>
  <x:fonts count="12">
    <x:font>
      <x:sz val="11"/>
      <x:name val="Carlito"/>
    </x:font>
    <x:font>
      <x:b/>
      <x:sz val="15"/>
      <x:color rgb="FF17324D"/>
      <x:name val="Arial"/>
    </x:font>
    <x:font>
      <x:i/>
      <x:sz val="10"/>
      <x:color rgb="FF4B5563"/>
      <x:name val="Arial"/>
    </x:font>
    <x:font>
      <x:b/>
      <x:sz val="10"/>
      <x:color rgb="FF17324D"/>
      <x:name val="Arial"/>
    </x:font>
    <x:font>
      <x:b/>
      <x:sz val="11"/>
      <x:name val="Carlito"/>
    </x:font>
    <x:font>
      <x:sz val="10"/>
      <x:color rgb="FF246BCE"/>
      <x:name val="Arial"/>
    </x:font>
    <x:font>
      <x:b/>
      <x:sz val="10"/>
      <x:color rgb="FFFFFFFF"/>
      <x:name val="Arial"/>
    </x:font>
    <x:font>
      <x:i/>
      <x:sz val="10"/>
      <x:color rgb="FF246BCE"/>
      <x:name val="Arial"/>
    </x:font>
    <x:font>
      <x:i/>
      <x:sz val="11"/>
      <x:name val="Carlito"/>
    </x:font>
    <x:font>
      <x:sz val="11"/>
      <x:name val="Arial"/>
    </x:font>
    <x:font>
      <x:b/>
      <x:sz val="11"/>
      <x:name val="Arial"/>
    </x:font>
    <x:font>
      <x:i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DCEAF8"/>
      </x:patternFill>
    </x:fill>
    <x:fill>
      <x:patternFill patternType="solid">
        <x:fgColor rgb="FFFFF2CC"/>
      </x:patternFill>
    </x:fill>
    <x:fill>
      <x:patternFill patternType="solid">
        <x:fgColor rgb="FF17324D"/>
      </x:patternFill>
    </x:fill>
  </x:fills>
  <x:borders count="9">
    <x:border/>
    <x:border>
      <x:bottom style="thin">
        <x:color rgb="FF17324D"/>
      </x:bottom>
    </x:border>
    <x:border>
      <x:left style="thin">
        <x:color rgb="FF17324D"/>
      </x:left>
      <x:top style="thin">
        <x:color rgb="FF17324D"/>
      </x:top>
      <x:bottom style="thin">
        <x:color rgb="FF17324D"/>
      </x:bottom>
    </x:border>
    <x:border>
      <x:top style="thin">
        <x:color rgb="FF17324D"/>
      </x:top>
      <x:bottom style="thin">
        <x:color rgb="FF17324D"/>
      </x:bottom>
    </x:border>
    <x:border>
      <x:right style="thin">
        <x:color rgb="FF17324D"/>
      </x:right>
      <x:top style="thin">
        <x:color rgb="FF17324D"/>
      </x:top>
      <x:bottom style="thin">
        <x:color rgb="FF17324D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17324D"/>
      </x:left>
      <x:right style="thin">
        <x:color rgb="FF17324D"/>
      </x:right>
      <x:top style="thin">
        <x:color rgb="FF17324D"/>
      </x:top>
      <x:bottom style="thin">
        <x:color rgb="FF17324D"/>
      </x:bottom>
    </x:border>
  </x:borders>
  <x:cellStyleXfs count="1">
    <x:xf numFmtId="0" fontId="0" fillId="0" borderId="0"/>
  </x:cellStyleXfs>
  <x:cellXfs count="9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4" fillId="0" borderId="0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1" fontId="5" fillId="3" borderId="0" xfId="0" applyNumberFormat="1" applyFont="1" applyFill="1" applyBorder="1"/>
    <x:xf numFmtId="202" fontId="5" fillId="3" borderId="0" xfId="0" applyNumberFormat="1" applyFont="1" applyFill="1" applyBorder="1"/>
    <x:xf numFmtId="203" fontId="5" fillId="3" borderId="0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5" xfId="0" applyNumberFormat="1" applyFont="1" applyFill="1" applyBorder="1"/>
    <x:xf numFmtId="0" fontId="6" fillId="4" borderId="6" xfId="0" applyNumberFormat="1" applyFont="1" applyFill="1" applyBorder="1"/>
    <x:xf numFmtId="0" fontId="6" fillId="4" borderId="7" xfId="0" applyNumberFormat="1" applyFont="1" applyFill="1" applyBorder="1"/>
    <x:xf numFmtId="0" fontId="6" fillId="4" borderId="5" xfId="0" applyNumberFormat="1" applyFont="1" applyFill="1" applyBorder="1" applyAlignment="1">
      <x:alignment wrapText="1"/>
    </x:xf>
    <x:xf numFmtId="0" fontId="6" fillId="4" borderId="6" xfId="0" applyNumberFormat="1" applyFont="1" applyFill="1" applyBorder="1" applyAlignment="1">
      <x:alignment wrapText="1"/>
    </x:xf>
    <x:xf numFmtId="0" fontId="6" fillId="4" borderId="7" xfId="0" applyNumberFormat="1" applyFont="1" applyFill="1" applyBorder="1" applyAlignment="1">
      <x:alignment wrapText="1"/>
    </x:xf>
    <x:xf numFmtId="0" fontId="6" fillId="4" borderId="5" xfId="0" applyNumberFormat="1" applyFont="1" applyFill="1" applyBorder="1" applyAlignment="1">
      <x:alignment horizontal="center" wrapText="1"/>
    </x:xf>
    <x:xf numFmtId="0" fontId="6" fillId="4" borderId="6" xfId="0" applyNumberFormat="1" applyFont="1" applyFill="1" applyBorder="1" applyAlignment="1">
      <x:alignment horizontal="center" wrapText="1"/>
    </x:xf>
    <x:xf numFmtId="0" fontId="6" fillId="4" borderId="7" xfId="0" applyNumberFormat="1" applyFont="1" applyFill="1" applyBorder="1" applyAlignment="1">
      <x:alignment horizontal="center" wrapText="1"/>
    </x:xf>
    <x:xf numFmtId="0" fontId="6" fillId="4" borderId="5" xfId="0" applyNumberFormat="1" applyFont="1" applyFill="1" applyBorder="1" applyAlignment="1">
      <x:alignment horizontal="center"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204" fontId="5" fillId="3" borderId="0" xfId="0" applyNumberFormat="1" applyFont="1" applyFill="1" applyBorder="1"/>
    <x:xf numFmtId="204" fontId="7" fillId="3" borderId="0" xfId="0" applyNumberFormat="1" applyFont="1" applyFill="1" applyBorder="1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3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3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0" fillId="0" borderId="0" xfId="0" applyNumberFormat="1" applyFont="1" applyFill="1" applyBorder="1"/>
    <x:xf numFmtId="204" fontId="0" fillId="0" borderId="0" xfId="0" applyNumberFormat="1" applyFont="1" applyFill="1" applyBorder="1"/>
    <x:xf numFmtId="204" fontId="8" fillId="0" borderId="0" xfId="0" applyNumberFormat="1" applyFont="1" applyFill="1" applyBorder="1"/>
    <x:xf numFmtId="0" fontId="3" fillId="2" borderId="8" xfId="0" applyNumberFormat="1" applyFont="1" applyFill="1" applyBorder="1"/>
    <x:xf numFmtId="200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10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9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9" fillId="0" borderId="1" xfId="0" applyNumberFormat="1" applyFont="1" applyFill="1" applyBorder="1" applyAlignment="1">
      <x:alignment vertical="center" wrapText="0"/>
    </x:xf>
    <x:xf numFmtId="0" fontId="3" fillId="2" borderId="2" xfId="0" applyNumberFormat="1" applyFont="1" applyFill="1" applyBorder="1" applyAlignment="1">
      <x:alignment vertical="center" wrapText="0"/>
    </x:xf>
    <x:xf numFmtId="0" fontId="3" fillId="2" borderId="3" xfId="0" applyNumberFormat="1" applyFont="1" applyFill="1" applyBorder="1" applyAlignment="1">
      <x:alignment vertical="center" wrapText="0"/>
    </x:xf>
    <x:xf numFmtId="0" fontId="3" fillId="2" borderId="4" xfId="0" applyNumberFormat="1" applyFont="1" applyFill="1" applyBorder="1" applyAlignment="1">
      <x:alignment vertical="center" wrapText="0"/>
    </x:xf>
    <x:xf numFmtId="0" fontId="10" fillId="0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6" fillId="4" borderId="5" xfId="0" applyNumberFormat="1" applyFont="1" applyFill="1" applyBorder="1" applyAlignment="1">
      <x:alignment horizontal="center" vertical="center" wrapText="0"/>
    </x:xf>
    <x:xf numFmtId="0" fontId="6" fillId="4" borderId="6" xfId="0" applyNumberFormat="1" applyFont="1" applyFill="1" applyBorder="1" applyAlignment="1">
      <x:alignment horizontal="center" vertical="center" wrapText="0"/>
    </x:xf>
    <x:xf numFmtId="0" fontId="6" fillId="4" borderId="7" xfId="0" applyNumberFormat="1" applyFont="1" applyFill="1" applyBorder="1" applyAlignment="1">
      <x:alignment horizontal="center" vertical="center" wrapText="0"/>
    </x:xf>
    <x:xf numFmtId="200" fontId="5" fillId="3" borderId="0" xfId="0" applyNumberFormat="1" applyFont="1" applyFill="1" applyBorder="1" applyAlignment="1">
      <x:alignment vertical="center" wrapText="0"/>
    </x:xf>
    <x:xf numFmtId="201" fontId="5" fillId="3" borderId="0" xfId="0" applyNumberFormat="1" applyFont="1" applyFill="1" applyBorder="1" applyAlignment="1">
      <x:alignment vertical="center" wrapText="0"/>
    </x:xf>
    <x:xf numFmtId="202" fontId="5" fillId="3" borderId="0" xfId="0" applyNumberFormat="1" applyFont="1" applyFill="1" applyBorder="1" applyAlignment="1">
      <x:alignment vertical="center" wrapText="0"/>
    </x:xf>
    <x:xf numFmtId="203" fontId="5" fillId="3" borderId="0" xfId="0" applyNumberFormat="1" applyFont="1" applyFill="1" applyBorder="1" applyAlignment="1">
      <x:alignment vertical="center" wrapText="0"/>
    </x:xf>
    <x:xf numFmtId="201" fontId="9" fillId="0" borderId="0" xfId="0" applyNumberFormat="1" applyFont="1" applyFill="1" applyBorder="1"/>
    <x:xf numFmtId="204" fontId="11" fillId="0" borderId="0" xfId="0" applyNumberFormat="1" applyFont="1" applyFill="1" applyBorder="1"/>
    <x:xf numFmtId="0" fontId="3" fillId="2" borderId="8" xfId="0" applyNumberFormat="1" applyFont="1" applyFill="1" applyBorder="1" applyAlignment="1">
      <x:alignment vertical="center"/>
    </x:xf>
    <x:xf numFmtId="201" fontId="9" fillId="0" borderId="0" xfId="0" applyNumberFormat="1" applyFont="1" applyFill="1" applyBorder="1" applyAlignment="1">
      <x:alignment vertical="center"/>
    </x:xf>
    <x:xf numFmtId="204" fontId="11" fillId="0" borderId="0" xfId="0" applyNumberFormat="1" applyFont="1" applyFill="1" applyBorder="1" applyAlignment="1">
      <x:alignment vertical="center"/>
    </x:xf>
    <x:xf numFmtId="0" fontId="3" fillId="2" borderId="8" xfId="0" applyNumberFormat="1" applyFont="1" applyFill="1" applyBorder="1" applyAlignment="1">
      <x:alignment vertical="center" wrapText="0"/>
    </x:xf>
    <x:xf numFmtId="201" fontId="9" fillId="0" borderId="0" xfId="0" applyNumberFormat="1" applyFont="1" applyFill="1" applyBorder="1" applyAlignment="1">
      <x:alignment vertical="center" wrapText="0"/>
    </x:xf>
    <x:xf numFmtId="204" fontId="11" fillId="0" borderId="0" xfId="0" applyNumberFormat="1" applyFont="1" applyFill="1" applyBorder="1" applyAlignment="1">
      <x:alignment vertical="center" wrapText="0"/>
    </x:xf>
    <x:xf numFmtId="200" fontId="9" fillId="0" borderId="0" xfId="0" applyNumberFormat="1" applyFont="1" applyFill="1" applyBorder="1"/>
    <x:xf numFmtId="200" fontId="9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vertical="center" wrapText="0"/>
    </x:xf>
    <x:xf numFmtId="203" fontId="9" fillId="0" borderId="0" xfId="0" applyNumberFormat="1" applyFont="1" applyFill="1" applyBorder="1"/>
    <x:xf numFmtId="203" fontId="9" fillId="0" borderId="0" xfId="0" applyNumberFormat="1" applyFont="1" applyFill="1" applyBorder="1" applyAlignment="1">
      <x:alignment vertical="center"/>
    </x:xf>
    <x:xf numFmtId="203" fontId="9" fillId="0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3" borderId="0" xfId="0" applyNumberFormat="1" applyFont="1" applyFill="1" applyBorder="1" applyAlignment="1">
      <x:alignment vertical="center" wrapText="0"/>
      <x:extLst>
        <x:ext uri="{C7286773-470A-42A8-94C5-96B5CB345126}">
          <xfpb:xfComplement xmlns:xfpb="http://schemas.microsoft.com/office/spreadsheetml/2022/featurepropertybag" i="0"/>
        </x:ext>
      </x:extLst>
    </x:xf>
    <x:xf numFmtId="204" fontId="7" fillId="3" borderId="0" xfId="0" applyNumberFormat="1" applyFont="1" applyFill="1" applyBorder="1" applyAlignment="1">
      <x:alignment vertical="center"/>
    </x:xf>
    <x:xf numFmtId="204" fontId="7" fillId="3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6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a129ea2a44a49" /><Relationship Type="http://schemas.openxmlformats.org/officeDocument/2006/relationships/theme" Target="/xl/theme/theme1.xml" Id="R7d022a63d75f4cc3" /><Relationship Type="http://schemas.microsoft.com/office/2022/11/relationships/FeaturePropertyBag" Target="/xl/featurePropertyBag/featurePropertyBag.xml" Id="R6cd7fe72b81f4ec3" /><Relationship Type="http://schemas.openxmlformats.org/officeDocument/2006/relationships/sharedStrings" Target="/xl/sharedStrings.xml" Id="R30329c5908044eab" /><Relationship Type="http://schemas.openxmlformats.org/officeDocument/2006/relationships/worksheet" Target="/xl/worksheets/sheet1.xml" Id="R46590226f3414c21" /><Relationship Type="http://schemas.openxmlformats.org/officeDocument/2006/relationships/worksheet" Target="/xl/worksheets/sheet2.xml" Id="R857e7af06b9640a6" /><Relationship Type="http://schemas.openxmlformats.org/officeDocument/2006/relationships/worksheet" Target="/xl/worksheets/sheet3.xml" Id="Rf99bacdcfc634705" /><Relationship Type="http://schemas.openxmlformats.org/officeDocument/2006/relationships/worksheet" Target="/xl/worksheets/sheet4.xml" Id="Rfa4b538e17554c57" /><Relationship Type="http://schemas.openxmlformats.org/officeDocument/2006/relationships/worksheet" Target="/xl/worksheets/sheet5.xml" Id="R1bd6d4d842614e57" /><Relationship Type="http://schemas.openxmlformats.org/officeDocument/2006/relationships/worksheet" Target="/xl/worksheets/sheet6.xml" Id="Rc06f477efcfa40de" /><Relationship Type="http://schemas.openxmlformats.org/officeDocument/2006/relationships/worksheet" Target="/xl/worksheets/sheet7.xml" Id="R8c64ba4c5e7a4131" /><Relationship Type="http://schemas.openxmlformats.org/officeDocument/2006/relationships/worksheet" Target="/xl/worksheets/sheet8.xml" Id="R4e88a1615d144c10" /><Relationship Type="http://schemas.openxmlformats.org/officeDocument/2006/relationships/worksheet" Target="/xl/worksheets/sheet9.xml" Id="Rc93fea3513c24602" /><Relationship Type="http://schemas.openxmlformats.org/officeDocument/2006/relationships/worksheet" Target="/xl/worksheets/sheet10.xml" Id="Rb4d36df3221f4bf9" /><Relationship Type="http://schemas.openxmlformats.org/officeDocument/2006/relationships/worksheet" Target="/xl/worksheets/sheet11.xml" Id="R4073688307194d5f" /><Relationship Type="http://schemas.openxmlformats.org/officeDocument/2006/relationships/worksheet" Target="/xl/worksheets/sheet12.xml" Id="Rf457b438a02e466d" /><Relationship Type="http://schemas.openxmlformats.org/officeDocument/2006/relationships/worksheet" Target="/xl/worksheets/sheet13.xml" Id="R9b5bd8329d664d3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590a2bee752422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Revenue, forecast, and pipeline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Actual</c:v>
          </c:tx>
          <c:cat>
            <c:strRef>
              <c:f>'BOARD EXPORT'!$A$7:$A$9</c:f>
              <c:strCache>
                <c:ptCount val="0"/>
              </c:strCache>
            </c:strRef>
          </c:cat>
          <c:val>
            <c:numRef>
              <c:f>'BOARD EXPORT'!$B$7:$B$9</c:f>
              <c:numCache>
                <c:formatCode>$#,##0;($#,##0);-</c:formatCode>
                <c:ptCount val="0"/>
              </c:numCache>
            </c:numRef>
          </c:val>
        </c:ser>
        <c:ser>
          <c:idx val="1"/>
          <c:order val="1"/>
          <c:tx>
            <c:v>Target</c:v>
          </c:tx>
          <c:cat>
            <c:strRef>
              <c:f>'BOARD EXPORT'!$A$7:$A$9</c:f>
              <c:strCache>
                <c:ptCount val="0"/>
              </c:strCache>
            </c:strRef>
          </c:cat>
          <c:val>
            <c:numRef>
              <c:f>'BOARD EXPORT'!$C$7:$C$9</c:f>
              <c:numCache>
                <c:formatCode>$#,##0;($#,##0);-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.0,,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5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590a2bee7524222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343481c13b034db0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14" hidden="0" customWidth="1"/>
    <x:col min="4" max="4" width="36" hidden="0" customWidth="1"/>
    <x:col min="5" max="5" width="3" hidden="0" customWidth="1"/>
    <x:col min="6" max="6" width="9" hidden="0" customWidth="1"/>
    <x:col min="7" max="7" width="29" hidden="0" customWidth="1"/>
    <x:col min="8" max="8" width="24" hidden="0" customWidth="1"/>
    <x:col min="9" max="9" width="27" hidden="0" customWidth="1"/>
    <x:col min="10" max="10" width="38" hidden="0" customWidth="1"/>
  </x:cols>
  <x:sheetData>
    <x:row r="2" ht="18" hidden="0" customHeight="1">
      <x:c r="A2" s="57" t="str">
        <x:v>HubSpot management reporting starter pack</x:v>
      </x:c>
      <x:c r="B2" s="58"/>
      <x:c r="C2" s="58"/>
      <x:c r="D2" s="58"/>
      <x:c r="E2" s="58"/>
      <x:c r="F2" s="58"/>
      <x:c r="G2" s="58"/>
      <x:c r="H2" s="58"/>
      <x:c r="I2" s="58"/>
      <x:c r="J2" s="58"/>
    </x:row>
    <x:row r="3" ht="15" hidden="0" customHeight="1">
      <x:c r="A3" s="59" t="str">
        <x:v>Fictional example. Replace the amber inputs and source tables with your own fixed-cutoff exports.</x:v>
      </x:c>
      <x:c r="B3" s="58"/>
      <x:c r="C3" s="58"/>
      <x:c r="D3" s="58"/>
      <x:c r="E3" s="58"/>
      <x:c r="F3" s="58"/>
      <x:c r="G3" s="58"/>
      <x:c r="H3" s="58"/>
      <x:c r="I3" s="58"/>
      <x:c r="J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  <x:c r="J4" s="60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  <x:c r="J5" s="58"/>
    </x:row>
    <x:row r="6" ht="15" hidden="0" customHeight="1">
      <x:c r="A6" s="61" t="str">
        <x:v>1. Configure the reporting period</x:v>
      </x:c>
      <x:c r="B6" s="62"/>
      <x:c r="C6" s="62"/>
      <x:c r="D6" s="63"/>
      <x:c r="E6" s="58"/>
      <x:c r="F6" s="61" t="str">
        <x:v>2. Refresh in this order</x:v>
      </x:c>
      <x:c r="G6" s="62"/>
      <x:c r="H6" s="62"/>
      <x:c r="I6" s="62"/>
      <x:c r="J6" s="63"/>
    </x:row>
    <x:row r="7" ht="15" hidden="0" customHeight="1">
      <x:c r="A7" s="64" t="str">
        <x:v>Company name</x:v>
      </x:c>
      <x:c r="B7" s="65" t="str">
        <x:v>Northstar Cloud Ltd</x:v>
      </x:c>
      <x:c r="C7" s="58" t="str">
        <x:v>Required</x:v>
      </x:c>
      <x:c r="D7" s="58" t="str">
        <x:v>Used in titles only</x:v>
      </x:c>
      <x:c r="E7" s="58"/>
      <x:c r="F7" s="66" t="str">
        <x:v>Step</x:v>
      </x:c>
      <x:c r="G7" s="67" t="str">
        <x:v>Action</x:v>
      </x:c>
      <x:c r="H7" s="67" t="str">
        <x:v>Sheet</x:v>
      </x:c>
      <x:c r="I7" s="67" t="str">
        <x:v>Completion rule</x:v>
      </x:c>
      <x:c r="J7" s="68" t="str">
        <x:v>Important note</x:v>
      </x:c>
    </x:row>
    <x:row r="8" ht="15" hidden="0" customHeight="1">
      <x:c r="A8" s="64" t="str">
        <x:v>Reporting period start</x:v>
      </x:c>
      <x:c r="B8" s="69" t="n">
        <x:v>46266</x:v>
      </x:c>
      <x:c r="C8" s="58" t="str">
        <x:v>Required</x:v>
      </x:c>
      <x:c r="D8" s="58" t="str">
        <x:v>First day of the reporting period</x:v>
      </x:c>
      <x:c r="E8" s="58"/>
      <x:c r="F8" s="58" t="n">
        <x:v>1</x:v>
      </x:c>
      <x:c r="G8" s="58" t="str">
        <x:v>Paste current deal export</x:v>
      </x:c>
      <x:c r="H8" s="58" t="str">
        <x:v>RAW DEALS</x:v>
      </x:c>
      <x:c r="I8" s="58" t="str">
        <x:v>Keep one deal per row</x:v>
      </x:c>
      <x:c r="J8" s="58" t="str">
        <x:v>Do not paste client data into the sample copy</x:v>
      </x:c>
    </x:row>
    <x:row r="9" ht="15" hidden="0" customHeight="1">
      <x:c r="A9" s="64" t="str">
        <x:v>Reporting period end</x:v>
      </x:c>
      <x:c r="B9" s="69" t="n">
        <x:v>46295</x:v>
      </x:c>
      <x:c r="C9" s="58" t="str">
        <x:v>Required</x:v>
      </x:c>
      <x:c r="D9" s="58" t="str">
        <x:v>Must be on or after the start</x:v>
      </x:c>
      <x:c r="E9" s="58"/>
      <x:c r="F9" s="58" t="n">
        <x:v>2</x:v>
      </x:c>
      <x:c r="G9" s="58" t="str">
        <x:v>Confirm stage definitions</x:v>
      </x:c>
      <x:c r="H9" s="58" t="str">
        <x:v>STAGE MAP</x:v>
      </x:c>
      <x:c r="I9" s="58" t="str">
        <x:v>Map every active stage</x:v>
      </x:c>
      <x:c r="J9" s="58" t="str">
        <x:v>Unmapped stages must stay visible</x:v>
      </x:c>
    </x:row>
    <x:row r="10" ht="15" hidden="0" customHeight="1">
      <x:c r="A10" s="64" t="str">
        <x:v>Current snapshot date</x:v>
      </x:c>
      <x:c r="B10" s="69" t="n">
        <x:v>46286</x:v>
      </x:c>
      <x:c r="C10" s="58" t="str">
        <x:v>Required</x:v>
      </x:c>
      <x:c r="D10" s="58" t="str">
        <x:v>Must exist in WEEKLY SNAPSHOTS</x:v>
      </x:c>
      <x:c r="E10" s="58"/>
      <x:c r="F10" s="58" t="n">
        <x:v>3</x:v>
      </x:c>
      <x:c r="G10" s="58" t="str">
        <x:v>Append fixed-cutoff snapshots</x:v>
      </x:c>
      <x:c r="H10" s="58" t="str">
        <x:v>WEEKLY SNAPSHOTS</x:v>
      </x:c>
      <x:c r="I10" s="58" t="str">
        <x:v>Use the same fields each week</x:v>
      </x:c>
      <x:c r="J10" s="58" t="str">
        <x:v>Do not overwrite history</x:v>
      </x:c>
    </x:row>
    <x:row r="11" ht="15" hidden="0" customHeight="1">
      <x:c r="A11" s="64" t="str">
        <x:v>Prior snapshot date</x:v>
      </x:c>
      <x:c r="B11" s="69" t="n">
        <x:v>46279</x:v>
      </x:c>
      <x:c r="C11" s="58" t="str">
        <x:v>Required</x:v>
      </x:c>
      <x:c r="D11" s="58" t="str">
        <x:v>Must precede current snapshot</x:v>
      </x:c>
      <x:c r="E11" s="58"/>
      <x:c r="F11" s="58" t="n">
        <x:v>4</x:v>
      </x:c>
      <x:c r="G11" s="58" t="str">
        <x:v>Review outputs</x:v>
      </x:c>
      <x:c r="H11" s="58" t="str">
        <x:v>REVENUE VS TARGET</x:v>
      </x:c>
      <x:c r="I11" s="58" t="str">
        <x:v>Then WEEKLY SALES and health</x:v>
      </x:c>
      <x:c r="J11" s="58" t="str">
        <x:v>Resolve red exceptions</x:v>
      </x:c>
    </x:row>
    <x:row r="12" ht="15" hidden="0" customHeight="1">
      <x:c r="A12" s="64" t="str">
        <x:v>Currency</x:v>
      </x:c>
      <x:c r="B12" s="65" t="str">
        <x:v>USD</x:v>
      </x:c>
      <x:c r="C12" s="58" t="str">
        <x:v>Required</x:v>
      </x:c>
      <x:c r="D12" s="58" t="str">
        <x:v>USD, GBP, EUR, INR, AUD, or CAD</x:v>
      </x:c>
      <x:c r="E12" s="58"/>
      <x:c r="F12" s="58"/>
      <x:c r="G12" s="58"/>
      <x:c r="H12" s="58"/>
      <x:c r="I12" s="58"/>
      <x:c r="J12" s="58"/>
    </x:row>
    <x:row r="13" ht="15" hidden="0" customHeight="1">
      <x:c r="A13" s="64" t="str">
        <x:v>Annual revenue target</x:v>
      </x:c>
      <x:c r="B13" s="70" t="n">
        <x:v>1200000</x:v>
      </x:c>
      <x:c r="C13" s="58" t="str">
        <x:v>Required</x:v>
      </x:c>
      <x:c r="D13" s="58" t="str">
        <x:v>Bookings target in this fictional example</x:v>
      </x:c>
      <x:c r="E13" s="58"/>
      <x:c r="F13" s="61" t="str">
        <x:v>3. Definitions that must not drift</x:v>
      </x:c>
      <x:c r="G13" s="62"/>
      <x:c r="H13" s="62"/>
      <x:c r="I13" s="62"/>
      <x:c r="J13" s="63"/>
    </x:row>
    <x:row r="14" ht="15" hidden="0" customHeight="1">
      <x:c r="A14" s="64" t="str">
        <x:v>Closed revenue to date</x:v>
      </x:c>
      <x:c r="B14" s="70" t="n">
        <x:v>720000</x:v>
      </x:c>
      <x:c r="C14" s="58" t="str">
        <x:v>Required</x:v>
      </x:c>
      <x:c r="D14" s="58" t="str">
        <x:v>Bookings proxy, not recognized revenue</x:v>
      </x:c>
      <x:c r="E14" s="58"/>
      <x:c r="F14" s="58" t="str">
        <x:v>Bookings</x:v>
      </x:c>
      <x:c r="G14" s="58" t="str">
        <x:v>Closed-won deal amount</x:v>
      </x:c>
      <x:c r="H14" s="58" t="str">
        <x:v>Not recognized revenue</x:v>
      </x:c>
      <x:c r="I14" s="58" t="str">
        <x:v>Owner: Finance</x:v>
      </x:c>
      <x:c r="J14" s="58" t="str">
        <x:v>Review monthly</x:v>
      </x:c>
    </x:row>
    <x:row r="15" ht="15" hidden="0" customHeight="1">
      <x:c r="A15" s="64" t="str">
        <x:v>Remaining periods</x:v>
      </x:c>
      <x:c r="B15" s="71" t="n">
        <x:v>3</x:v>
      </x:c>
      <x:c r="C15" s="58" t="str">
        <x:v>Required</x:v>
      </x:c>
      <x:c r="D15" s="58" t="str">
        <x:v>Whole periods remaining</x:v>
      </x:c>
      <x:c r="E15" s="58"/>
      <x:c r="F15" s="58" t="str">
        <x:v>Forecast</x:v>
      </x:c>
      <x:c r="G15" s="58" t="str">
        <x:v>Closed bookings plus selected open forecast</x:v>
      </x:c>
      <x:c r="H15" s="58" t="str">
        <x:v>State included categories</x:v>
      </x:c>
      <x:c r="I15" s="58" t="str">
        <x:v>Owner: Sales Ops</x:v>
      </x:c>
      <x:c r="J15" s="58" t="str">
        <x:v>Review weekly</x:v>
      </x:c>
    </x:row>
    <x:row r="16" ht="15" hidden="0" customHeight="1">
      <x:c r="A16" s="64" t="str">
        <x:v>Default stale threshold</x:v>
      </x:c>
      <x:c r="B16" s="71" t="n">
        <x:v>14</x:v>
      </x:c>
      <x:c r="C16" s="58" t="str">
        <x:v>Required</x:v>
      </x:c>
      <x:c r="D16" s="58" t="str">
        <x:v>Days since last activity</x:v>
      </x:c>
      <x:c r="E16" s="58"/>
      <x:c r="F16" s="58" t="str">
        <x:v>Pipeline</x:v>
      </x:c>
      <x:c r="G16" s="58" t="str">
        <x:v>Open deal amount at a fixed cutoff</x:v>
      </x:c>
      <x:c r="H16" s="58" t="str">
        <x:v>Do not mix snapshot dates</x:v>
      </x:c>
      <x:c r="I16" s="58" t="str">
        <x:v>Owner: RevOps</x:v>
      </x:c>
      <x:c r="J16" s="58" t="str">
        <x:v>Review weekly</x:v>
      </x:c>
    </x:row>
    <x:row r="17" ht="15" hidden="0" customHeight="1">
      <x:c r="A17" s="64" t="str">
        <x:v>Close-date slip tolerance</x:v>
      </x:c>
      <x:c r="B17" s="71" t="n">
        <x:v>7</x:v>
      </x:c>
      <x:c r="C17" s="58" t="str">
        <x:v>Required</x:v>
      </x:c>
      <x:c r="D17" s="58" t="str">
        <x:v>Days</x:v>
      </x:c>
      <x:c r="E17" s="58"/>
      <x:c r="F17" s="58" t="str">
        <x:v>Coverage</x:v>
      </x:c>
      <x:c r="G17" s="58" t="str">
        <x:v>Open pipeline divided by remaining target</x:v>
      </x:c>
      <x:c r="H17" s="58" t="str">
        <x:v>Blank when target gap is zero</x:v>
      </x:c>
      <x:c r="I17" s="58" t="str">
        <x:v>Owner: Sales</x:v>
      </x:c>
      <x:c r="J17" s="58" t="str">
        <x:v>Review weekly</x:v>
      </x:c>
    </x:row>
    <x:row r="18" ht="15" hidden="0" customHeight="1">
      <x:c r="A18" s="64" t="str">
        <x:v>Minimum pipeline coverage</x:v>
      </x:c>
      <x:c r="B18" s="72" t="n">
        <x:v>3</x:v>
      </x:c>
      <x:c r="C18" s="58" t="str">
        <x:v>Required</x:v>
      </x:c>
      <x:c r="D18" s="58" t="str">
        <x:v>Open pipeline divided by target gap</x:v>
      </x:c>
      <x:c r="E18" s="58"/>
      <x:c r="F18" s="58" t="str">
        <x:v>Stale</x:v>
      </x:c>
      <x:c r="G18" s="58" t="str">
        <x:v>No activity beyond threshold</x:v>
      </x:c>
      <x:c r="H18" s="58" t="str">
        <x:v>Threshold is editable</x:v>
      </x:c>
      <x:c r="I18" s="58" t="str">
        <x:v>Owner: Deal owner</x:v>
      </x:c>
      <x:c r="J18" s="58" t="str">
        <x:v>Resolve weekly</x:v>
      </x:c>
    </x:row>
  </x:sheetData>
  <x:mergeCells>
    <x:mergeCell ref="A2:J2"/>
    <x:mergeCell ref="A3:J3"/>
    <x:mergeCell ref="A6:D6"/>
    <x:mergeCell ref="F6:J6"/>
    <x:mergeCell ref="F13:J13"/>
  </x:mergeCells>
  <x:dataValidations count="1">
    <x:dataValidation type="list" sqref="B12">
      <x:formula1>"USD,GBP,EUR,INR,AUD,CAD"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3" hidden="0" customWidth="1"/>
    <x:col min="4" max="4" width="24" hidden="0" customWidth="1"/>
    <x:col min="5" max="5" width="18" hidden="0" customWidth="1"/>
    <x:col min="6" max="6" width="4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2" ht="18" hidden="0" customHeight="1">
      <x:c r="A2" s="57" t="str">
        <x:v>Revenue vs target</x:v>
      </x:c>
      <x:c r="B2" s="58"/>
      <x:c r="C2" s="58"/>
      <x:c r="D2" s="58"/>
      <x:c r="E2" s="58"/>
      <x:c r="F2" s="58"/>
      <x:c r="G2" s="58"/>
      <x:c r="H2" s="58"/>
      <x:c r="I2" s="58"/>
      <x:c r="J2" s="58"/>
    </x:row>
    <x:row r="3" ht="15" hidden="0" customHeight="1">
      <x:c r="A3" s="59" t="str">
        <x:v>This fictional example treats closed-won deal amount as bookings. Replace the definition before use.</x:v>
      </x:c>
      <x:c r="B3" s="58"/>
      <x:c r="C3" s="58"/>
      <x:c r="D3" s="58"/>
      <x:c r="E3" s="58"/>
      <x:c r="F3" s="58"/>
      <x:c r="G3" s="58"/>
      <x:c r="H3" s="58"/>
      <x:c r="I3" s="58"/>
      <x:c r="J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  <x:c r="J4" s="60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  <x:c r="J5" s="58"/>
    </x:row>
    <x:row r="6" ht="15" hidden="0" customHeight="1">
      <x:c r="A6" s="61" t="str">
        <x:v>Headline results</x:v>
      </x:c>
      <x:c r="B6" s="62"/>
      <x:c r="C6" s="62"/>
      <x:c r="D6" s="78" t="str">
        <x:v>Target bridge</x:v>
      </x:c>
      <x:c r="E6" s="62"/>
      <x:c r="F6" s="62"/>
      <x:c r="G6" s="62"/>
      <x:c r="H6" s="62"/>
      <x:c r="I6" s="62"/>
      <x:c r="J6" s="63"/>
    </x:row>
    <x:row r="7" ht="15" hidden="0" customHeight="1">
      <x:c r="A7" s="66" t="str">
        <x:v>Metric</x:v>
      </x:c>
      <x:c r="B7" s="68" t="str">
        <x:v>Value</x:v>
      </x:c>
      <x:c r="C7" s="58"/>
      <x:c r="D7" s="66" t="str">
        <x:v>Component</x:v>
      </x:c>
      <x:c r="E7" s="67" t="str">
        <x:v>Amount</x:v>
      </x:c>
      <x:c r="F7" s="68" t="str">
        <x:v>Interpretation</x:v>
      </x:c>
      <x:c r="G7" s="58"/>
      <x:c r="H7" s="58"/>
      <x:c r="I7" s="58"/>
      <x:c r="J7" s="58"/>
    </x:row>
    <x:row r="8" ht="15" hidden="0" customHeight="1">
      <x:c r="A8" s="58" t="str">
        <x:v>Annual target</x:v>
      </x:c>
      <x:c r="B8" s="79" t="n">
        <x:f>'START HERE'!B13</x:f>
        <x:v>1200000</x:v>
      </x:c>
      <x:c r="C8" s="58"/>
      <x:c r="D8" s="58" t="str">
        <x:v>Closed bookings</x:v>
      </x:c>
      <x:c r="E8" s="79" t="n">
        <x:f>B9</x:f>
        <x:v>720000</x:v>
      </x:c>
      <x:c r="F8" s="58" t="str">
        <x:v>Recorded to date</x:v>
      </x:c>
      <x:c r="G8" s="58"/>
      <x:c r="H8" s="58"/>
      <x:c r="I8" s="58"/>
      <x:c r="J8" s="58"/>
    </x:row>
    <x:row r="9" ht="15" hidden="0" customHeight="1">
      <x:c r="A9" s="58" t="str">
        <x:v>Closed bookings to date</x:v>
      </x:c>
      <x:c r="B9" s="79" t="n">
        <x:f>'START HERE'!B14</x:f>
        <x:v>720000</x:v>
      </x:c>
      <x:c r="C9" s="58"/>
      <x:c r="D9" s="58" t="str">
        <x:v>Commit pipeline</x:v>
      </x:c>
      <x:c r="E9" s="79" t="n">
        <x:f>SUMIFS('RAW DEALS'!$G$7:$G$30,'RAW DEALS'!$L$7:$L$30,"Commit")</x:f>
        <x:v>645000</x:v>
      </x:c>
      <x:c r="F9" s="58" t="str">
        <x:v>Included in this example forecast</x:v>
      </x:c>
      <x:c r="G9" s="58"/>
      <x:c r="H9" s="58"/>
      <x:c r="I9" s="58"/>
      <x:c r="J9" s="58"/>
    </x:row>
    <x:row r="10" ht="15" hidden="0" customHeight="1">
      <x:c r="A10" s="58" t="str">
        <x:v>Target attainment</x:v>
      </x:c>
      <x:c r="B10" s="80" t="n">
        <x:f>IF(B8=0,"n.a.",B9/B8)</x:f>
        <x:v>0.6</x:v>
      </x:c>
      <x:c r="C10" s="58"/>
      <x:c r="D10" s="58" t="str">
        <x:v>Forecast</x:v>
      </x:c>
      <x:c r="E10" s="79" t="n">
        <x:f>E8+E9</x:f>
        <x:v>1365000</x:v>
      </x:c>
      <x:c r="F10" s="58" t="str">
        <x:v>Closed plus commit</x:v>
      </x:c>
      <x:c r="G10" s="58"/>
      <x:c r="H10" s="58"/>
      <x:c r="I10" s="58"/>
      <x:c r="J10" s="58"/>
    </x:row>
    <x:row r="11" ht="15" hidden="0" customHeight="1">
      <x:c r="A11" s="58" t="str">
        <x:v>Target gap</x:v>
      </x:c>
      <x:c r="B11" s="79" t="n">
        <x:f>B8-B9</x:f>
        <x:v>480000</x:v>
      </x:c>
      <x:c r="C11" s="58"/>
      <x:c r="D11" s="58" t="str">
        <x:v>Target</x:v>
      </x:c>
      <x:c r="E11" s="79" t="n">
        <x:f>B8</x:f>
        <x:v>1200000</x:v>
      </x:c>
      <x:c r="F11" s="58" t="str">
        <x:v>Configured annual target</x:v>
      </x:c>
      <x:c r="G11" s="58"/>
      <x:c r="H11" s="58"/>
      <x:c r="I11" s="58"/>
      <x:c r="J11" s="58"/>
    </x:row>
    <x:row r="12" ht="15" hidden="0" customHeight="1">
      <x:c r="A12" s="58" t="str">
        <x:v>Required per remaining period</x:v>
      </x:c>
      <x:c r="B12" s="79" t="n">
        <x:f>IF('START HERE'!B15=0,"n.a.",MAX(0,B11/'START HERE'!B15))</x:f>
        <x:v>160000</x:v>
      </x:c>
      <x:c r="C12" s="58"/>
      <x:c r="D12" s="58" t="str">
        <x:v>Forecast gap</x:v>
      </x:c>
      <x:c r="E12" s="79" t="n">
        <x:f>E11-E10</x:f>
        <x:v>-165000</x:v>
      </x:c>
      <x:c r="F12" s="58" t="str">
        <x:v>Positive value means below target</x:v>
      </x:c>
      <x:c r="G12" s="58"/>
      <x:c r="H12" s="58"/>
      <x:c r="I12" s="58"/>
      <x:c r="J12" s="58"/>
    </x:row>
    <x:row r="13" ht="15" hidden="0" customHeight="1">
      <x:c r="A13" s="58" t="str">
        <x:v>Open pipeline</x:v>
      </x:c>
      <x:c r="B13" s="79" t="n">
        <x:f>SUMIFS('RAW DEALS'!$G$7:$G$29,'RAW DEALS'!$E$7:$E$29,"&lt;&gt;Closed Won",'RAW DEALS'!$E$7:$E$29,"&lt;&gt;Closed Lost")</x:f>
        <x:v>1355000</x:v>
      </x:c>
      <x:c r="C13" s="58"/>
      <x:c r="D13" s="58"/>
      <x:c r="E13" s="58"/>
      <x:c r="F13" s="58"/>
      <x:c r="G13" s="58"/>
      <x:c r="H13" s="58"/>
      <x:c r="I13" s="58"/>
      <x:c r="J13" s="58"/>
    </x:row>
    <x:row r="14" ht="15" hidden="0" customHeight="1">
      <x:c r="A14" s="58" t="str">
        <x:v>Weighted pipeline</x:v>
      </x:c>
      <x:c r="B14" s="79" t="n">
        <x:f>SUMIFS('RAW DEALS'!$R$7:$R$29,'RAW DEALS'!$E$7:$E$29,"&lt;&gt;Closed Won",'RAW DEALS'!$E$7:$E$29,"&lt;&gt;Closed Lost")</x:f>
        <x:v>666700</x:v>
      </x:c>
      <x:c r="C14" s="58"/>
      <x:c r="D14" s="61" t="str">
        <x:v>Decision commentary</x:v>
      </x:c>
      <x:c r="E14" s="62"/>
      <x:c r="F14" s="62"/>
      <x:c r="G14" s="62"/>
      <x:c r="H14" s="62"/>
      <x:c r="I14" s="62"/>
      <x:c r="J14" s="63"/>
    </x:row>
    <x:row r="15" ht="15" hidden="0" customHeight="1">
      <x:c r="A15" s="58" t="str">
        <x:v>Forecast revenue</x:v>
      </x:c>
      <x:c r="B15" s="79" t="n">
        <x:f>B9+SUMIFS('RAW DEALS'!$G$7:$G$29,'RAW DEALS'!$L$7:$L$29,"Commit")</x:f>
        <x:v>1365000</x:v>
      </x:c>
      <x:c r="C15" s="58"/>
      <x:c r="D15" s="58" t="str">
        <x:v>Observation</x:v>
      </x:c>
      <x:c r="E15" s="58" t="str">
        <x:v>Forecast is $165,000 above target in the sample data.</x:v>
      </x:c>
      <x:c r="F15" s="58"/>
      <x:c r="G15" s="58"/>
      <x:c r="H15" s="58"/>
      <x:c r="I15" s="58"/>
      <x:c r="J15" s="58"/>
    </x:row>
    <x:row r="16" ht="15" hidden="0" customHeight="1">
      <x:c r="A16" s="58"/>
      <x:c r="B16" s="58"/>
      <x:c r="C16" s="58"/>
      <x:c r="D16" s="58" t="str">
        <x:v>Explanation</x:v>
      </x:c>
      <x:c r="E16" s="58" t="str">
        <x:v>Four close-date slips make that forecast fragile.</x:v>
      </x:c>
      <x:c r="F16" s="58"/>
      <x:c r="G16" s="58"/>
      <x:c r="H16" s="58"/>
      <x:c r="I16" s="58"/>
      <x:c r="J16" s="58"/>
    </x:row>
    <x:row r="17" ht="15" hidden="0" customHeight="1">
      <x:c r="A17" s="58"/>
      <x:c r="B17" s="58"/>
      <x:c r="C17" s="58"/>
      <x:c r="D17" s="58" t="str">
        <x:v>Evidence</x:v>
      </x:c>
      <x:c r="E17" s="58" t="str">
        <x:v>Use PIPELINE BRIDGE and PIPELINE HEALTH before accepting the forecast.</x:v>
      </x:c>
      <x:c r="F17" s="58"/>
      <x:c r="G17" s="58"/>
      <x:c r="H17" s="58"/>
      <x:c r="I17" s="58"/>
      <x:c r="J17" s="58"/>
    </x:row>
    <x:row r="18" ht="15" hidden="0" customHeight="1">
      <x:c r="A18" s="58"/>
      <x:c r="B18" s="58"/>
      <x:c r="C18" s="58"/>
      <x:c r="D18" s="58" t="str">
        <x:v>Decision</x:v>
      </x:c>
      <x:c r="E18" s="58" t="str">
        <x:v>Assign owners and due dates to the largest recoverable gaps.</x:v>
      </x:c>
      <x:c r="F18" s="58"/>
      <x:c r="G18" s="58"/>
      <x:c r="H18" s="58"/>
      <x:c r="I18" s="58"/>
      <x:c r="J18" s="58"/>
    </x:row>
  </x:sheetData>
  <x:mergeCells>
    <x:mergeCell ref="A2:J2"/>
    <x:mergeCell ref="A3:J3"/>
    <x:mergeCell ref="A6:D6"/>
    <x:mergeCell ref="D6:J6"/>
    <x:mergeCell ref="D14:J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38" hidden="0" customWidth="1"/>
    <x:col min="4" max="4" width="3" hidden="0" customWidth="1"/>
    <x:col min="5" max="5" width="12" hidden="0" customWidth="1"/>
    <x:col min="6" max="6" width="27" hidden="0" customWidth="1"/>
    <x:col min="7" max="7" width="34" hidden="0" customWidth="1"/>
    <x:col min="8" max="8" width="16" hidden="0" customWidth="1"/>
    <x:col min="9" max="9" width="14" hidden="0" customWidth="1"/>
    <x:col min="10" max="10" width="13" hidden="0" customWidth="1"/>
  </x:cols>
  <x:sheetData>
    <x:row r="2" ht="18" hidden="0" customHeight="1">
      <x:c r="A2" s="57" t="str">
        <x:v>Weekly sales review</x:v>
      </x:c>
      <x:c r="B2" s="58"/>
      <x:c r="C2" s="58"/>
      <x:c r="D2" s="58"/>
      <x:c r="E2" s="58"/>
      <x:c r="F2" s="58"/>
      <x:c r="G2" s="58"/>
      <x:c r="H2" s="58"/>
      <x:c r="I2" s="58"/>
      <x:c r="J2" s="58"/>
    </x:row>
    <x:row r="3" ht="15" hidden="0" customHeight="1">
      <x:c r="A3" s="59" t="str">
        <x:v>Use the same cutoff and definitions every week. Resolve data exceptions before interpreting results.</x:v>
      </x:c>
      <x:c r="B3" s="58"/>
      <x:c r="C3" s="58"/>
      <x:c r="D3" s="58"/>
      <x:c r="E3" s="58"/>
      <x:c r="F3" s="58"/>
      <x:c r="G3" s="58"/>
      <x:c r="H3" s="58"/>
      <x:c r="I3" s="58"/>
      <x:c r="J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  <x:c r="J4" s="60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  <x:c r="J5" s="58"/>
    </x:row>
    <x:row r="6" ht="15" hidden="0" customHeight="1">
      <x:c r="A6" s="61" t="str">
        <x:v>Weekly metrics</x:v>
      </x:c>
      <x:c r="B6" s="62"/>
      <x:c r="C6" s="62"/>
      <x:c r="D6" s="62"/>
      <x:c r="E6" s="61" t="str">
        <x:v>30-minute agenda</x:v>
      </x:c>
      <x:c r="F6" s="63"/>
      <x:c r="G6" s="62"/>
      <x:c r="H6" s="62"/>
      <x:c r="I6" s="62"/>
      <x:c r="J6" s="63"/>
    </x:row>
    <x:row r="7" ht="15" hidden="0" customHeight="1">
      <x:c r="A7" s="66" t="str">
        <x:v>Metric</x:v>
      </x:c>
      <x:c r="B7" s="67" t="str">
        <x:v>Value</x:v>
      </x:c>
      <x:c r="C7" s="68" t="str">
        <x:v>Review question</x:v>
      </x:c>
      <x:c r="D7" s="58"/>
      <x:c r="E7" s="66" t="str">
        <x:v>Minutes</x:v>
      </x:c>
      <x:c r="F7" s="67" t="str">
        <x:v>Topic</x:v>
      </x:c>
      <x:c r="G7" s="67" t="str">
        <x:v>Required output</x:v>
      </x:c>
      <x:c r="H7" s="67" t="str">
        <x:v>Owner</x:v>
      </x:c>
      <x:c r="I7" s="67" t="str">
        <x:v>Due date</x:v>
      </x:c>
      <x:c r="J7" s="68" t="str">
        <x:v>Status</x:v>
      </x:c>
    </x:row>
    <x:row r="8" ht="15" hidden="0" customHeight="1">
      <x:c r="A8" s="58" t="str">
        <x:v>Open opportunities</x:v>
      </x:c>
      <x:c r="B8" s="58" t="n">
        <x:f>COUNTIFS('RAW DEALS'!$E$7:$E$29,"&lt;&gt;Closed Won",'RAW DEALS'!$E$7:$E$29,"&lt;&gt;Closed Lost")</x:f>
        <x:v>20</x:v>
      </x:c>
      <x:c r="C8" s="58" t="str">
        <x:v>Is the count sufficient for the target?</x:v>
      </x:c>
      <x:c r="D8" s="58"/>
      <x:c r="E8" s="58" t="str">
        <x:v>0 to 3</x:v>
      </x:c>
      <x:c r="F8" s="58" t="str">
        <x:v>Cutoff and data quality</x:v>
      </x:c>
      <x:c r="G8" s="58" t="str">
        <x:v>Accepted data or named blocker</x:v>
      </x:c>
      <x:c r="H8" s="65" t="str">
        <x:v>RevOps</x:v>
      </x:c>
      <x:c r="I8" s="69"/>
      <x:c r="J8" s="65" t="str">
        <x:v>Open</x:v>
      </x:c>
    </x:row>
    <x:row r="9" ht="15" hidden="0" customHeight="1">
      <x:c r="A9" s="58" t="str">
        <x:v>Open pipeline</x:v>
      </x:c>
      <x:c r="B9" s="79" t="n">
        <x:f>SUMIFS('RAW DEALS'!$G$7:$G$29,'RAW DEALS'!$E$7:$E$29,"&lt;&gt;Closed Won",'RAW DEALS'!$E$7:$E$29,"&lt;&gt;Closed Lost")</x:f>
        <x:v>1355000</x:v>
      </x:c>
      <x:c r="C9" s="58" t="str">
        <x:v>Is coverage adequate?</x:v>
      </x:c>
      <x:c r="D9" s="58"/>
      <x:c r="E9" s="58" t="str">
        <x:v>3 to 8</x:v>
      </x:c>
      <x:c r="F9" s="58" t="str">
        <x:v>Revenue and target gap</x:v>
      </x:c>
      <x:c r="G9" s="58" t="str">
        <x:v>One quantified gap statement</x:v>
      </x:c>
      <x:c r="H9" s="65" t="str">
        <x:v>Finance</x:v>
      </x:c>
      <x:c r="I9" s="69"/>
      <x:c r="J9" s="65" t="str">
        <x:v>Open</x:v>
      </x:c>
    </x:row>
    <x:row r="10" ht="15" hidden="0" customHeight="1">
      <x:c r="A10" s="58" t="str">
        <x:v>Commit pipeline</x:v>
      </x:c>
      <x:c r="B10" s="79" t="n">
        <x:f>SUMIFS('RAW DEALS'!$G$7:$G$29,'RAW DEALS'!$L$7:$L$29,"Commit")</x:f>
        <x:v>645000</x:v>
      </x:c>
      <x:c r="C10" s="58" t="str">
        <x:v>Which deals have evidence?</x:v>
      </x:c>
      <x:c r="D10" s="58"/>
      <x:c r="E10" s="58" t="str">
        <x:v>8 to 15</x:v>
      </x:c>
      <x:c r="F10" s="58" t="str">
        <x:v>Pipeline bridge</x:v>
      </x:c>
      <x:c r="G10" s="58" t="str">
        <x:v>Top three changes</x:v>
      </x:c>
      <x:c r="H10" s="65" t="str">
        <x:v>Sales Ops</x:v>
      </x:c>
      <x:c r="I10" s="69"/>
      <x:c r="J10" s="65" t="str">
        <x:v>Open</x:v>
      </x:c>
    </x:row>
    <x:row r="11" ht="15" hidden="0" customHeight="1">
      <x:c r="A11" s="58" t="str">
        <x:v>Stale open deals</x:v>
      </x:c>
      <x:c r="B11" s="58" t="n">
        <x:f>COUNTIFS('RAW DEALS'!$T$7:$T$29,"&gt;"&amp;'START HERE'!$B$16,'RAW DEALS'!$E$7:$E$29,"&lt;&gt;Closed Won",'RAW DEALS'!$E$7:$E$29,"&lt;&gt;Closed Lost")</x:f>
        <x:v>5</x:v>
      </x:c>
      <x:c r="C11" s="58" t="str">
        <x:v>Which require action or removal?</x:v>
      </x:c>
      <x:c r="D11" s="58"/>
      <x:c r="E11" s="58" t="str">
        <x:v>15 to 22</x:v>
      </x:c>
      <x:c r="F11" s="58" t="str">
        <x:v>Health exceptions</x:v>
      </x:c>
      <x:c r="G11" s="58" t="str">
        <x:v>Owners and remediation dates</x:v>
      </x:c>
      <x:c r="H11" s="65" t="str">
        <x:v>Sales</x:v>
      </x:c>
      <x:c r="I11" s="69"/>
      <x:c r="J11" s="65" t="str">
        <x:v>Open</x:v>
      </x:c>
    </x:row>
    <x:row r="12" ht="15" hidden="0" customHeight="1">
      <x:c r="A12" s="58" t="str">
        <x:v>Overdue close dates</x:v>
      </x:c>
      <x:c r="B12" s="58" t="n">
        <x:f>COUNTIFS('RAW DEALS'!$I$7:$I$29,"&lt;"&amp;'START HERE'!$B$10,'RAW DEALS'!$E$7:$E$29,"&lt;&gt;Closed Won",'RAW DEALS'!$E$7:$E$29,"&lt;&gt;Closed Lost")</x:f>
        <x:v>1</x:v>
      </x:c>
      <x:c r="C12" s="58" t="str">
        <x:v>Which dates need correction?</x:v>
      </x:c>
      <x:c r="D12" s="58"/>
      <x:c r="E12" s="58" t="str">
        <x:v>22 to 27</x:v>
      </x:c>
      <x:c r="F12" s="58" t="str">
        <x:v>Coverage and risks</x:v>
      </x:c>
      <x:c r="G12" s="58" t="str">
        <x:v>Agreed interventions</x:v>
      </x:c>
      <x:c r="H12" s="65" t="str">
        <x:v>Leadership</x:v>
      </x:c>
      <x:c r="I12" s="69"/>
      <x:c r="J12" s="65" t="str">
        <x:v>Open</x:v>
      </x:c>
    </x:row>
    <x:row r="13" ht="15" hidden="0" customHeight="1">
      <x:c r="A13" s="58" t="str">
        <x:v>Deals with missing data</x:v>
      </x:c>
      <x:c r="B13" s="58" t="n">
        <x:f>COUNTIFS('RAW DEALS'!$U$7:$U$29,"CHECK")</x:f>
        <x:v>3</x:v>
      </x:c>
      <x:c r="C13" s="58" t="str">
        <x:v>Can the review proceed?</x:v>
      </x:c>
      <x:c r="D13" s="58"/>
      <x:c r="E13" s="58" t="str">
        <x:v>27 to 30</x:v>
      </x:c>
      <x:c r="F13" s="58" t="str">
        <x:v>Decisions and actions</x:v>
      </x:c>
      <x:c r="G13" s="58" t="str">
        <x:v>Decision, owner, due date</x:v>
      </x:c>
      <x:c r="H13" s="65" t="str">
        <x:v>Chair</x:v>
      </x:c>
      <x:c r="I13" s="69"/>
      <x:c r="J13" s="65" t="str">
        <x:v>Open</x:v>
      </x:c>
    </x:row>
    <x:row r="14" ht="15" hidden="0" customHeight="1">
      <x:c r="A14" s="58" t="str">
        <x:v>Closed won this snapshot</x:v>
      </x:c>
      <x:c r="B14" s="58" t="n">
        <x:f>COUNTIFS('RAW DEALS'!$E$7:$E$29,"Closed Won")</x:f>
        <x:v>2</x:v>
      </x:c>
      <x:c r="C14" s="58" t="str">
        <x:v>What created the result?</x:v>
      </x:c>
      <x:c r="D14" s="58"/>
      <x:c r="E14" s="58"/>
      <x:c r="F14" s="58"/>
      <x:c r="G14" s="58"/>
      <x:c r="H14" s="58"/>
      <x:c r="I14" s="58"/>
      <x:c r="J14" s="58"/>
    </x:row>
    <x:row r="15" ht="15" hidden="0" customHeight="1">
      <x:c r="A15" s="58" t="str">
        <x:v>Closed lost this snapshot</x:v>
      </x:c>
      <x:c r="B15" s="58" t="n">
        <x:f>COUNTIFS('RAW DEALS'!$E$7:$E$29,"Closed Lost")</x:f>
        <x:v>1</x:v>
      </x:c>
      <x:c r="C15" s="58" t="str">
        <x:v>What should change?</x:v>
      </x:c>
      <x:c r="D15" s="58"/>
      <x:c r="E15" s="58"/>
      <x:c r="F15" s="58"/>
      <x:c r="G15" s="58"/>
      <x:c r="H15" s="58"/>
      <x:c r="I15" s="58"/>
      <x:c r="J15" s="58"/>
    </x:row>
  </x:sheetData>
  <x:mergeCells>
    <x:mergeCell ref="A2:J2"/>
    <x:mergeCell ref="A3:J3"/>
    <x:mergeCell ref="A6:F6"/>
    <x:mergeCell ref="E6:J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324D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5" hidden="0" customWidth="1"/>
    <x:col min="4" max="4" width="14" hidden="0" customWidth="1"/>
    <x:col min="5" max="5" width="17" hidden="0" customWidth="1"/>
    <x:col min="6" max="6" width="16" hidden="0" customWidth="1"/>
    <x:col min="7" max="7" width="14" hidden="0" customWidth="1"/>
    <x:col min="8" max="8" width="16" hidden="0" customWidth="1"/>
    <x:col min="9" max="9" width="17" hidden="0" customWidth="1"/>
    <x:col min="10" max="10" width="15" hidden="0" customWidth="1"/>
    <x:col min="11" max="11" width="12" hidden="0" customWidth="1"/>
    <x:col min="12" max="12" width="20" hidden="0" customWidth="1"/>
    <x:col min="13" max="13" width="30" hidden="0" customWidth="1"/>
    <x:col min="14" max="14" width="3" hidden="0" customWidth="1"/>
    <x:col min="15" max="15" width="30" hidden="0" customWidth="1"/>
    <x:col min="16" max="16" width="18" hidden="0" customWidth="1"/>
    <x:col min="17" max="17" width="12" hidden="0" customWidth="1"/>
    <x:col min="18" max="18" width="12" hidden="0" customWidth="1"/>
  </x:cols>
  <x:sheetData>
    <x:row r="2" ht="18" hidden="0" customHeight="1">
      <x:c r="A2" s="57" t="str">
        <x:v>Pipeline bridge</x:v>
      </x:c>
      <x:c r="B2" s="58"/>
      <x:c r="C2" s="58"/>
      <x:c r="D2" s="58"/>
      <x:c r="E2" s="58"/>
      <x:c r="F2" s="58"/>
      <x:c r="G2" s="58"/>
      <x:c r="H2" s="58"/>
      <x:c r="I2" s="58"/>
      <x:c r="J2" s="58"/>
      <x:c r="K2" s="58"/>
      <x:c r="L2" s="58"/>
      <x:c r="M2" s="58"/>
      <x:c r="N2" s="58"/>
      <x:c r="O2" s="58"/>
      <x:c r="P2" s="58"/>
      <x:c r="Q2" s="58"/>
      <x:c r="R2" s="58"/>
    </x:row>
    <x:row r="3" ht="15" hidden="0" customHeight="1">
      <x:c r="A3" s="59" t="str">
        <x:v>Reconcile opening and closing open pipeline. Progress and slips explain composition but do not change total value.</x:v>
      </x:c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  <x:c r="R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  <x:c r="J4" s="60"/>
      <x:c r="K4" s="60"/>
      <x:c r="L4" s="60"/>
      <x:c r="M4" s="60"/>
      <x:c r="N4" s="60"/>
      <x:c r="O4" s="58"/>
      <x:c r="P4" s="58"/>
      <x:c r="Q4" s="58"/>
      <x:c r="R4" s="58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  <x:c r="J5" s="58"/>
      <x:c r="K5" s="58"/>
      <x:c r="L5" s="58"/>
      <x:c r="M5" s="58"/>
      <x:c r="N5" s="58"/>
      <x:c r="O5" s="58"/>
      <x:c r="P5" s="58"/>
      <x:c r="Q5" s="58"/>
      <x:c r="R5" s="58"/>
    </x:row>
    <x:row r="6" ht="15" hidden="0" customHeight="1">
      <x:c r="A6" s="66" t="str">
        <x:v>deal_id</x:v>
      </x:c>
      <x:c r="B6" s="67" t="str">
        <x:v>prior_stage</x:v>
      </x:c>
      <x:c r="C6" s="67" t="str">
        <x:v>prior_amount</x:v>
      </x:c>
      <x:c r="D6" s="67" t="str">
        <x:v>prior_close</x:v>
      </x:c>
      <x:c r="E6" s="67" t="str">
        <x:v>current_stage</x:v>
      </x:c>
      <x:c r="F6" s="67" t="str">
        <x:v>current_amount</x:v>
      </x:c>
      <x:c r="G6" s="67" t="str">
        <x:v>current_close</x:v>
      </x:c>
      <x:c r="H6" s="67" t="str">
        <x:v>primary_class</x:v>
      </x:c>
      <x:c r="I6" s="67" t="str">
        <x:v>value_change</x:v>
      </x:c>
      <x:c r="J6" s="67" t="str">
        <x:v>stage_change</x:v>
      </x:c>
      <x:c r="K6" s="67" t="str">
        <x:v>slip_days</x:v>
      </x:c>
      <x:c r="L6" s="67" t="str">
        <x:v>reconciliation_change</x:v>
      </x:c>
      <x:c r="M6" s="68" t="str">
        <x:v>review_note</x:v>
      </x:c>
      <x:c r="N6" s="58"/>
      <x:c r="O6" s="61" t="str">
        <x:v>Reconciliation</x:v>
      </x:c>
      <x:c r="P6" s="62"/>
      <x:c r="Q6" s="62"/>
      <x:c r="R6" s="63"/>
    </x:row>
    <x:row r="7" ht="15" hidden="0" customHeight="1">
      <x:c r="A7" s="58" t="str">
        <x:v>D-1001</x:v>
      </x:c>
      <x:c r="B7" s="65" t="str">
        <x:v>Negotiation</x:v>
      </x:c>
      <x:c r="C7" s="70" t="n">
        <x:v>120000</x:v>
      </x:c>
      <x:c r="D7" s="69" t="n">
        <x:v>46290</x:v>
      </x:c>
      <x:c r="E7" s="65" t="str">
        <x:v>Closed Won</x:v>
      </x:c>
      <x:c r="F7" s="70" t="n">
        <x:v>120000</x:v>
      </x:c>
      <x:c r="G7" s="69" t="n">
        <x:v>46290</x:v>
      </x:c>
      <x:c r="H7" s="58" t="str">
        <x:f>IF(B7="Absent",IF(OR(E7="Closed Won",E7="Closed Lost"),"Created closed","Created"),IF(E7="Absent","Removed",IF(AND(B7="Closed Lost",E7&lt;&gt;"Closed Lost"),"Reopened",IF(E7="Closed Won","Won",IF(E7="Closed Lost","Lost","Open")))))</x:f>
        <x:v>Won</x:v>
      </x:c>
      <x:c r="I7" s="58" t="str">
        <x:f>IF(F7&gt;C7,"Expanded",IF(F7&lt;C7,"Contracted","No value change"))</x:f>
        <x:v>No value change</x:v>
      </x:c>
      <x:c r="J7" s="58" t="str">
        <x:f>IF(OR(B7="Absent",E7="Absent",B7="Closed Won",B7="Closed Lost",E7="Closed Won",E7="Closed Lost"),"n.a.",IF(IFERROR(MATCH(E7,'STAGE MAP'!$A$7:$A$12,0),0)&gt;IFERROR(MATCH(B7,'STAGE MAP'!$A$7:$A$12,0),0),"Progressed",IF(IFERROR(MATCH(E7,'STAGE MAP'!$A$7:$A$12,0),0)&lt;IFERROR(MATCH(B7,'STAGE MAP'!$A$7:$A$12,0),0),"Regressed","Unchanged")))</x:f>
        <x:v>n.a.</x:v>
      </x:c>
      <x:c r="K7" s="58" t="n">
        <x:f>IF(OR(D7="",G7=""),"n.a.",G7-D7)</x:f>
        <x:v>0</x:v>
      </x:c>
      <x:c r="L7" s="79" t="n">
        <x:f>IF(H7="Created",F7,IF(H7="Reopened",F7,IF(H7="Won",-C7,IF(H7="Lost",-C7,IF(H7="Removed",-C7,F7-C7)))))</x:f>
        <x:v>-120000</x:v>
      </x:c>
      <x:c r="M7" s="58" t="str">
        <x:f>IF(H7="Removed","Investigate missing record",IF(K7&gt;'START HERE'!$B$17,"Explain close-date slip",IF(J7="Regressed","Explain stage regression","")))</x:f>
      </x:c>
      <x:c r="N7" s="58"/>
      <x:c r="O7" s="58" t="str">
        <x:v>Opening open pipeline</x:v>
      </x:c>
      <x:c r="P7" s="79" t="n">
        <x:f>SUMIFS(C7:C30,B7:B30,"&lt;&gt;Closed Won",B7:B30,"&lt;&gt;Closed Lost",B7:B30,"&lt;&gt;Absent")</x:f>
        <x:v>1510000</x:v>
      </x:c>
      <x:c r="Q7" s="58"/>
      <x:c r="R7" s="58"/>
    </x:row>
    <x:row r="8" ht="15" hidden="0" customHeight="1">
      <x:c r="A8" s="58" t="str">
        <x:v>D-1002</x:v>
      </x:c>
      <x:c r="B8" s="65" t="str">
        <x:v>Evaluation</x:v>
      </x:c>
      <x:c r="C8" s="70" t="n">
        <x:v>90000</x:v>
      </x:c>
      <x:c r="D8" s="69" t="n">
        <x:v>46300</x:v>
      </x:c>
      <x:c r="E8" s="65" t="str">
        <x:v>Negotiation</x:v>
      </x:c>
      <x:c r="F8" s="70" t="n">
        <x:v>100000</x:v>
      </x:c>
      <x:c r="G8" s="69" t="n">
        <x:v>46300</x:v>
      </x:c>
      <x:c r="H8" s="58" t="str">
        <x:f>IF(B8="Absent",IF(OR(E8="Closed Won",E8="Closed Lost"),"Created closed","Created"),IF(E8="Absent","Removed",IF(AND(B8="Closed Lost",E8&lt;&gt;"Closed Lost"),"Reopened",IF(E8="Closed Won","Won",IF(E8="Closed Lost","Lost","Open")))))</x:f>
        <x:v>Open</x:v>
      </x:c>
      <x:c r="I8" s="58" t="str">
        <x:f>IF(F8&gt;C8,"Expanded",IF(F8&lt;C8,"Contracted","No value change"))</x:f>
        <x:v>Expanded</x:v>
      </x:c>
      <x:c r="J8" s="58" t="str">
        <x:f>IF(OR(B8="Absent",E8="Absent",B8="Closed Won",B8="Closed Lost",E8="Closed Won",E8="Closed Lost"),"n.a.",IF(IFERROR(MATCH(E8,'STAGE MAP'!$A$7:$A$12,0),0)&gt;IFERROR(MATCH(B8,'STAGE MAP'!$A$7:$A$12,0),0),"Progressed",IF(IFERROR(MATCH(E8,'STAGE MAP'!$A$7:$A$12,0),0)&lt;IFERROR(MATCH(B8,'STAGE MAP'!$A$7:$A$12,0),0),"Regressed","Unchanged")))</x:f>
        <x:v>Progressed</x:v>
      </x:c>
      <x:c r="K8" s="58" t="n">
        <x:f>IF(OR(D8="",G8=""),"n.a.",G8-D8)</x:f>
        <x:v>0</x:v>
      </x:c>
      <x:c r="L8" s="79" t="n">
        <x:f>IF(H8="Created",F8,IF(H8="Reopened",F8,IF(H8="Won",-C8,IF(H8="Lost",-C8,IF(H8="Removed",-C8,F8-C8)))))</x:f>
        <x:v>10000</x:v>
      </x:c>
      <x:c r="M8" s="58" t="str">
        <x:f>IF(H8="Removed","Investigate missing record",IF(K8&gt;'START HERE'!$B$17,"Explain close-date slip",IF(J8="Regressed","Explain stage regression","")))</x:f>
      </x:c>
      <x:c r="N8" s="58"/>
      <x:c r="O8" s="58" t="str">
        <x:v>Net reconciled change</x:v>
      </x:c>
      <x:c r="P8" s="79" t="n">
        <x:f>SUM(L7:L30)</x:f>
        <x:v>-155000</x:v>
      </x:c>
      <x:c r="Q8" s="58"/>
      <x:c r="R8" s="58"/>
    </x:row>
    <x:row r="9" ht="15" hidden="0" customHeight="1">
      <x:c r="A9" s="58" t="str">
        <x:v>D-1003</x:v>
      </x:c>
      <x:c r="B9" s="65" t="str">
        <x:v>Qualified</x:v>
      </x:c>
      <x:c r="C9" s="70" t="n">
        <x:v>75000</x:v>
      </x:c>
      <x:c r="D9" s="69" t="n">
        <x:v>46307</x:v>
      </x:c>
      <x:c r="E9" s="65" t="str">
        <x:v>Evaluation</x:v>
      </x:c>
      <x:c r="F9" s="70" t="n">
        <x:v>75000</x:v>
      </x:c>
      <x:c r="G9" s="69" t="n">
        <x:v>46307</x:v>
      </x:c>
      <x:c r="H9" s="58" t="str">
        <x:f>IF(B9="Absent",IF(OR(E9="Closed Won",E9="Closed Lost"),"Created closed","Created"),IF(E9="Absent","Removed",IF(AND(B9="Closed Lost",E9&lt;&gt;"Closed Lost"),"Reopened",IF(E9="Closed Won","Won",IF(E9="Closed Lost","Lost","Open")))))</x:f>
        <x:v>Open</x:v>
      </x:c>
      <x:c r="I9" s="58" t="str">
        <x:f>IF(F9&gt;C9,"Expanded",IF(F9&lt;C9,"Contracted","No value change"))</x:f>
        <x:v>No value change</x:v>
      </x:c>
      <x:c r="J9" s="58" t="str">
        <x:f>IF(OR(B9="Absent",E9="Absent",B9="Closed Won",B9="Closed Lost",E9="Closed Won",E9="Closed Lost"),"n.a.",IF(IFERROR(MATCH(E9,'STAGE MAP'!$A$7:$A$12,0),0)&gt;IFERROR(MATCH(B9,'STAGE MAP'!$A$7:$A$12,0),0),"Progressed",IF(IFERROR(MATCH(E9,'STAGE MAP'!$A$7:$A$12,0),0)&lt;IFERROR(MATCH(B9,'STAGE MAP'!$A$7:$A$12,0),0),"Regressed","Unchanged")))</x:f>
        <x:v>Progressed</x:v>
      </x:c>
      <x:c r="K9" s="58" t="n">
        <x:f>IF(OR(D9="",G9=""),"n.a.",G9-D9)</x:f>
        <x:v>0</x:v>
      </x:c>
      <x:c r="L9" s="79" t="n">
        <x:f>IF(H9="Created",F9,IF(H9="Reopened",F9,IF(H9="Won",-C9,IF(H9="Lost",-C9,IF(H9="Removed",-C9,F9-C9)))))</x:f>
        <x:v>0</x:v>
      </x:c>
      <x:c r="M9" s="58" t="str">
        <x:f>IF(H9="Removed","Investigate missing record",IF(K9&gt;'START HERE'!$B$17,"Explain close-date slip",IF(J9="Regressed","Explain stage regression","")))</x:f>
      </x:c>
      <x:c r="N9" s="58"/>
      <x:c r="O9" s="58" t="str">
        <x:v>Expected closing open pipeline</x:v>
      </x:c>
      <x:c r="P9" s="79" t="n">
        <x:f>P7+P8</x:f>
        <x:v>1355000</x:v>
      </x:c>
      <x:c r="Q9" s="58"/>
      <x:c r="R9" s="58"/>
    </x:row>
    <x:row r="10" ht="15" hidden="0" customHeight="1">
      <x:c r="A10" s="58" t="str">
        <x:v>D-1004</x:v>
      </x:c>
      <x:c r="B10" s="65" t="str">
        <x:v>Negotiation</x:v>
      </x:c>
      <x:c r="C10" s="70" t="n">
        <x:v>110000</x:v>
      </x:c>
      <x:c r="D10" s="69" t="n">
        <x:v>46294</x:v>
      </x:c>
      <x:c r="E10" s="65" t="str">
        <x:v>Closed Lost</x:v>
      </x:c>
      <x:c r="F10" s="70" t="n">
        <x:v>110000</x:v>
      </x:c>
      <x:c r="G10" s="69" t="n">
        <x:v>46294</x:v>
      </x:c>
      <x:c r="H10" s="58" t="str">
        <x:f>IF(B10="Absent",IF(OR(E10="Closed Won",E10="Closed Lost"),"Created closed","Created"),IF(E10="Absent","Removed",IF(AND(B10="Closed Lost",E10&lt;&gt;"Closed Lost"),"Reopened",IF(E10="Closed Won","Won",IF(E10="Closed Lost","Lost","Open")))))</x:f>
        <x:v>Lost</x:v>
      </x:c>
      <x:c r="I10" s="58" t="str">
        <x:f>IF(F10&gt;C10,"Expanded",IF(F10&lt;C10,"Contracted","No value change"))</x:f>
        <x:v>No value change</x:v>
      </x:c>
      <x:c r="J10" s="58" t="str">
        <x:f>IF(OR(B10="Absent",E10="Absent",B10="Closed Won",B10="Closed Lost",E10="Closed Won",E10="Closed Lost"),"n.a.",IF(IFERROR(MATCH(E10,'STAGE MAP'!$A$7:$A$12,0),0)&gt;IFERROR(MATCH(B10,'STAGE MAP'!$A$7:$A$12,0),0),"Progressed",IF(IFERROR(MATCH(E10,'STAGE MAP'!$A$7:$A$12,0),0)&lt;IFERROR(MATCH(B10,'STAGE MAP'!$A$7:$A$12,0),0),"Regressed","Unchanged")))</x:f>
        <x:v>n.a.</x:v>
      </x:c>
      <x:c r="K10" s="58" t="n">
        <x:f>IF(OR(D10="",G10=""),"n.a.",G10-D10)</x:f>
        <x:v>0</x:v>
      </x:c>
      <x:c r="L10" s="79" t="n">
        <x:f>IF(H10="Created",F10,IF(H10="Reopened",F10,IF(H10="Won",-C10,IF(H10="Lost",-C10,IF(H10="Removed",-C10,F10-C10)))))</x:f>
        <x:v>-110000</x:v>
      </x:c>
      <x:c r="M10" s="58" t="str">
        <x:f>IF(H10="Removed","Investigate missing record",IF(K10&gt;'START HERE'!$B$17,"Explain close-date slip",IF(J10="Regressed","Explain stage regression","")))</x:f>
      </x:c>
      <x:c r="N10" s="58"/>
      <x:c r="O10" s="58" t="str">
        <x:v>Actual closing open pipeline</x:v>
      </x:c>
      <x:c r="P10" s="79" t="n">
        <x:f>SUMIFS(F7:F30,E7:E30,"&lt;&gt;Closed Won",E7:E30,"&lt;&gt;Closed Lost",E7:E30,"&lt;&gt;Absent")</x:f>
        <x:v>1355000</x:v>
      </x:c>
      <x:c r="Q10" s="58"/>
      <x:c r="R10" s="58"/>
    </x:row>
    <x:row r="11" ht="15" hidden="0" customHeight="1">
      <x:c r="A11" s="58" t="str">
        <x:v>D-1005</x:v>
      </x:c>
      <x:c r="B11" s="65" t="str">
        <x:v>Discovery</x:v>
      </x:c>
      <x:c r="C11" s="70" t="n">
        <x:v>40000</x:v>
      </x:c>
      <x:c r="D11" s="69" t="n">
        <x:v>46327</x:v>
      </x:c>
      <x:c r="E11" s="65" t="str">
        <x:v>Qualified</x:v>
      </x:c>
      <x:c r="F11" s="70" t="n">
        <x:v>40000</x:v>
      </x:c>
      <x:c r="G11" s="69" t="n">
        <x:v>46327</x:v>
      </x:c>
      <x:c r="H11" s="58" t="str">
        <x:f>IF(B11="Absent",IF(OR(E11="Closed Won",E11="Closed Lost"),"Created closed","Created"),IF(E11="Absent","Removed",IF(AND(B11="Closed Lost",E11&lt;&gt;"Closed Lost"),"Reopened",IF(E11="Closed Won","Won",IF(E11="Closed Lost","Lost","Open")))))</x:f>
        <x:v>Open</x:v>
      </x:c>
      <x:c r="I11" s="58" t="str">
        <x:f>IF(F11&gt;C11,"Expanded",IF(F11&lt;C11,"Contracted","No value change"))</x:f>
        <x:v>No value change</x:v>
      </x:c>
      <x:c r="J11" s="58" t="str">
        <x:f>IF(OR(B11="Absent",E11="Absent",B11="Closed Won",B11="Closed Lost",E11="Closed Won",E11="Closed Lost"),"n.a.",IF(IFERROR(MATCH(E11,'STAGE MAP'!$A$7:$A$12,0),0)&gt;IFERROR(MATCH(B11,'STAGE MAP'!$A$7:$A$12,0),0),"Progressed",IF(IFERROR(MATCH(E11,'STAGE MAP'!$A$7:$A$12,0),0)&lt;IFERROR(MATCH(B11,'STAGE MAP'!$A$7:$A$12,0),0),"Regressed","Unchanged")))</x:f>
        <x:v>Progressed</x:v>
      </x:c>
      <x:c r="K11" s="58" t="n">
        <x:f>IF(OR(D11="",G11=""),"n.a.",G11-D11)</x:f>
        <x:v>0</x:v>
      </x:c>
      <x:c r="L11" s="79" t="n">
        <x:f>IF(H11="Created",F11,IF(H11="Reopened",F11,IF(H11="Won",-C11,IF(H11="Lost",-C11,IF(H11="Removed",-C11,F11-C11)))))</x:f>
        <x:v>0</x:v>
      </x:c>
      <x:c r="M11" s="58" t="str">
        <x:f>IF(H11="Removed","Investigate missing record",IF(K11&gt;'START HERE'!$B$17,"Explain close-date slip",IF(J11="Regressed","Explain stage regression","")))</x:f>
      </x:c>
      <x:c r="N11" s="58"/>
      <x:c r="O11" s="58" t="str">
        <x:v>Difference</x:v>
      </x:c>
      <x:c r="P11" s="79" t="n">
        <x:f>P9-P10</x:f>
        <x:v>0</x:v>
      </x:c>
      <x:c r="Q11" s="58"/>
      <x:c r="R11" s="58"/>
    </x:row>
    <x:row r="12" ht="15" hidden="0" customHeight="1">
      <x:c r="A12" s="58" t="str">
        <x:v>D-1006</x:v>
      </x:c>
      <x:c r="B12" s="65" t="str">
        <x:v>Evaluation</x:v>
      </x:c>
      <x:c r="C12" s="70" t="n">
        <x:v>80000</x:v>
      </x:c>
      <x:c r="D12" s="69" t="n">
        <x:v>46295</x:v>
      </x:c>
      <x:c r="E12" s="65" t="str">
        <x:v>Evaluation</x:v>
      </x:c>
      <x:c r="F12" s="70" t="n">
        <x:v>70000</x:v>
      </x:c>
      <x:c r="G12" s="69" t="n">
        <x:v>46310</x:v>
      </x:c>
      <x:c r="H12" s="58" t="str">
        <x:f>IF(B12="Absent",IF(OR(E12="Closed Won",E12="Closed Lost"),"Created closed","Created"),IF(E12="Absent","Removed",IF(AND(B12="Closed Lost",E12&lt;&gt;"Closed Lost"),"Reopened",IF(E12="Closed Won","Won",IF(E12="Closed Lost","Lost","Open")))))</x:f>
        <x:v>Open</x:v>
      </x:c>
      <x:c r="I12" s="58" t="str">
        <x:f>IF(F12&gt;C12,"Expanded",IF(F12&lt;C12,"Contracted","No value change"))</x:f>
        <x:v>Contracted</x:v>
      </x:c>
      <x:c r="J12" s="58" t="str">
        <x:f>IF(OR(B12="Absent",E12="Absent",B12="Closed Won",B12="Closed Lost",E12="Closed Won",E12="Closed Lost"),"n.a.",IF(IFERROR(MATCH(E12,'STAGE MAP'!$A$7:$A$12,0),0)&gt;IFERROR(MATCH(B12,'STAGE MAP'!$A$7:$A$12,0),0),"Progressed",IF(IFERROR(MATCH(E12,'STAGE MAP'!$A$7:$A$12,0),0)&lt;IFERROR(MATCH(B12,'STAGE MAP'!$A$7:$A$12,0),0),"Regressed","Unchanged")))</x:f>
        <x:v>Unchanged</x:v>
      </x:c>
      <x:c r="K12" s="58" t="n">
        <x:f>IF(OR(D12="",G12=""),"n.a.",G12-D12)</x:f>
        <x:v>15</x:v>
      </x:c>
      <x:c r="L12" s="79" t="n">
        <x:f>IF(H12="Created",F12,IF(H12="Reopened",F12,IF(H12="Won",-C12,IF(H12="Lost",-C12,IF(H12="Removed",-C12,F12-C12)))))</x:f>
        <x:v>-10000</x:v>
      </x:c>
      <x:c r="M12" s="58" t="str">
        <x:f>IF(H12="Removed","Investigate missing record",IF(K12&gt;'START HERE'!$B$17,"Explain close-date slip",IF(J12="Regressed","Explain stage regression","")))</x:f>
        <x:v>Explain close-date slip</x:v>
      </x:c>
      <x:c r="N12" s="58"/>
      <x:c r="O12" s="58"/>
      <x:c r="P12" s="58"/>
      <x:c r="Q12" s="58"/>
      <x:c r="R12" s="58"/>
    </x:row>
    <x:row r="13" ht="15" hidden="0" customHeight="1">
      <x:c r="A13" s="58" t="str">
        <x:v>D-1007</x:v>
      </x:c>
      <x:c r="B13" s="65" t="str">
        <x:v>Negotiation</x:v>
      </x:c>
      <x:c r="C13" s="70" t="n">
        <x:v>65000</x:v>
      </x:c>
      <x:c r="D13" s="69" t="n">
        <x:v>46293</x:v>
      </x:c>
      <x:c r="E13" s="65" t="str">
        <x:v>Negotiation</x:v>
      </x:c>
      <x:c r="F13" s="70" t="n">
        <x:v>65000</x:v>
      </x:c>
      <x:c r="G13" s="69" t="n">
        <x:v>46315</x:v>
      </x:c>
      <x:c r="H13" s="58" t="str">
        <x:f>IF(B13="Absent",IF(OR(E13="Closed Won",E13="Closed Lost"),"Created closed","Created"),IF(E13="Absent","Removed",IF(AND(B13="Closed Lost",E13&lt;&gt;"Closed Lost"),"Reopened",IF(E13="Closed Won","Won",IF(E13="Closed Lost","Lost","Open")))))</x:f>
        <x:v>Open</x:v>
      </x:c>
      <x:c r="I13" s="58" t="str">
        <x:f>IF(F13&gt;C13,"Expanded",IF(F13&lt;C13,"Contracted","No value change"))</x:f>
        <x:v>No value change</x:v>
      </x:c>
      <x:c r="J13" s="58" t="str">
        <x:f>IF(OR(B13="Absent",E13="Absent",B13="Closed Won",B13="Closed Lost",E13="Closed Won",E13="Closed Lost"),"n.a.",IF(IFERROR(MATCH(E13,'STAGE MAP'!$A$7:$A$12,0),0)&gt;IFERROR(MATCH(B13,'STAGE MAP'!$A$7:$A$12,0),0),"Progressed",IF(IFERROR(MATCH(E13,'STAGE MAP'!$A$7:$A$12,0),0)&lt;IFERROR(MATCH(B13,'STAGE MAP'!$A$7:$A$12,0),0),"Regressed","Unchanged")))</x:f>
        <x:v>Unchanged</x:v>
      </x:c>
      <x:c r="K13" s="58" t="n">
        <x:f>IF(OR(D13="",G13=""),"n.a.",G13-D13)</x:f>
        <x:v>22</x:v>
      </x:c>
      <x:c r="L13" s="79" t="n">
        <x:f>IF(H13="Created",F13,IF(H13="Reopened",F13,IF(H13="Won",-C13,IF(H13="Lost",-C13,IF(H13="Removed",-C13,F13-C13)))))</x:f>
        <x:v>0</x:v>
      </x:c>
      <x:c r="M13" s="58" t="str">
        <x:f>IF(H13="Removed","Investigate missing record",IF(K13&gt;'START HERE'!$B$17,"Explain close-date slip",IF(J13="Regressed","Explain stage regression","")))</x:f>
        <x:v>Explain close-date slip</x:v>
      </x:c>
      <x:c r="N13" s="58"/>
      <x:c r="O13" s="58"/>
      <x:c r="P13" s="58"/>
      <x:c r="Q13" s="58"/>
      <x:c r="R13" s="58"/>
    </x:row>
    <x:row r="14" ht="15" hidden="0" customHeight="1">
      <x:c r="A14" s="58" t="str">
        <x:v>D-1008</x:v>
      </x:c>
      <x:c r="B14" s="65" t="str">
        <x:v>Qualified</x:v>
      </x:c>
      <x:c r="C14" s="70" t="n">
        <x:v>55000</x:v>
      </x:c>
      <x:c r="D14" s="69" t="n">
        <x:v>46310</x:v>
      </x:c>
      <x:c r="E14" s="65" t="str">
        <x:v>Discovery</x:v>
      </x:c>
      <x:c r="F14" s="70" t="n">
        <x:v>55000</x:v>
      </x:c>
      <x:c r="G14" s="69" t="n">
        <x:v>46310</x:v>
      </x:c>
      <x:c r="H14" s="58" t="str">
        <x:f>IF(B14="Absent",IF(OR(E14="Closed Won",E14="Closed Lost"),"Created closed","Created"),IF(E14="Absent","Removed",IF(AND(B14="Closed Lost",E14&lt;&gt;"Closed Lost"),"Reopened",IF(E14="Closed Won","Won",IF(E14="Closed Lost","Lost","Open")))))</x:f>
        <x:v>Open</x:v>
      </x:c>
      <x:c r="I14" s="58" t="str">
        <x:f>IF(F14&gt;C14,"Expanded",IF(F14&lt;C14,"Contracted","No value change"))</x:f>
        <x:v>No value change</x:v>
      </x:c>
      <x:c r="J14" s="58" t="str">
        <x:f>IF(OR(B14="Absent",E14="Absent",B14="Closed Won",B14="Closed Lost",E14="Closed Won",E14="Closed Lost"),"n.a.",IF(IFERROR(MATCH(E14,'STAGE MAP'!$A$7:$A$12,0),0)&gt;IFERROR(MATCH(B14,'STAGE MAP'!$A$7:$A$12,0),0),"Progressed",IF(IFERROR(MATCH(E14,'STAGE MAP'!$A$7:$A$12,0),0)&lt;IFERROR(MATCH(B14,'STAGE MAP'!$A$7:$A$12,0),0),"Regressed","Unchanged")))</x:f>
        <x:v>Regressed</x:v>
      </x:c>
      <x:c r="K14" s="58" t="n">
        <x:f>IF(OR(D14="",G14=""),"n.a.",G14-D14)</x:f>
        <x:v>0</x:v>
      </x:c>
      <x:c r="L14" s="79" t="n">
        <x:f>IF(H14="Created",F14,IF(H14="Reopened",F14,IF(H14="Won",-C14,IF(H14="Lost",-C14,IF(H14="Removed",-C14,F14-C14)))))</x:f>
        <x:v>0</x:v>
      </x:c>
      <x:c r="M14" s="58" t="str">
        <x:f>IF(H14="Removed","Investigate missing record",IF(K14&gt;'START HERE'!$B$17,"Explain close-date slip",IF(J14="Regressed","Explain stage regression","")))</x:f>
        <x:v>Explain stage regression</x:v>
      </x:c>
      <x:c r="N14" s="58"/>
      <x:c r="O14" s="58"/>
      <x:c r="P14" s="58"/>
      <x:c r="Q14" s="58"/>
      <x:c r="R14" s="58"/>
    </x:row>
    <x:row r="15" ht="15" hidden="0" customHeight="1">
      <x:c r="A15" s="58" t="str">
        <x:v>D-1009</x:v>
      </x:c>
      <x:c r="B15" s="65" t="str">
        <x:v>Discovery</x:v>
      </x:c>
      <x:c r="C15" s="70" t="n">
        <x:v>35000</x:v>
      </x:c>
      <x:c r="D15" s="69" t="n">
        <x:v>46325</x:v>
      </x:c>
      <x:c r="E15" s="65" t="str">
        <x:v>Discovery</x:v>
      </x:c>
      <x:c r="F15" s="70" t="n">
        <x:v>35000</x:v>
      </x:c>
      <x:c r="G15" s="69" t="n">
        <x:v>46325</x:v>
      </x:c>
      <x:c r="H15" s="58" t="str">
        <x:f>IF(B15="Absent",IF(OR(E15="Closed Won",E15="Closed Lost"),"Created closed","Created"),IF(E15="Absent","Removed",IF(AND(B15="Closed Lost",E15&lt;&gt;"Closed Lost"),"Reopened",IF(E15="Closed Won","Won",IF(E15="Closed Lost","Lost","Open")))))</x:f>
        <x:v>Open</x:v>
      </x:c>
      <x:c r="I15" s="58" t="str">
        <x:f>IF(F15&gt;C15,"Expanded",IF(F15&lt;C15,"Contracted","No value change"))</x:f>
        <x:v>No value change</x:v>
      </x:c>
      <x:c r="J15" s="58" t="str">
        <x:f>IF(OR(B15="Absent",E15="Absent",B15="Closed Won",B15="Closed Lost",E15="Closed Won",E15="Closed Lost"),"n.a.",IF(IFERROR(MATCH(E15,'STAGE MAP'!$A$7:$A$12,0),0)&gt;IFERROR(MATCH(B15,'STAGE MAP'!$A$7:$A$12,0),0),"Progressed",IF(IFERROR(MATCH(E15,'STAGE MAP'!$A$7:$A$12,0),0)&lt;IFERROR(MATCH(B15,'STAGE MAP'!$A$7:$A$12,0),0),"Regressed","Unchanged")))</x:f>
        <x:v>Unchanged</x:v>
      </x:c>
      <x:c r="K15" s="58" t="n">
        <x:f>IF(OR(D15="",G15=""),"n.a.",G15-D15)</x:f>
        <x:v>0</x:v>
      </x:c>
      <x:c r="L15" s="79" t="n">
        <x:f>IF(H15="Created",F15,IF(H15="Reopened",F15,IF(H15="Won",-C15,IF(H15="Lost",-C15,IF(H15="Removed",-C15,F15-C15)))))</x:f>
        <x:v>0</x:v>
      </x:c>
      <x:c r="M15" s="58" t="str">
        <x:f>IF(H15="Removed","Investigate missing record",IF(K15&gt;'START HERE'!$B$17,"Explain close-date slip",IF(J15="Regressed","Explain stage regression","")))</x:f>
      </x:c>
      <x:c r="N15" s="58"/>
      <x:c r="O15" s="58"/>
      <x:c r="P15" s="58"/>
      <x:c r="Q15" s="58"/>
      <x:c r="R15" s="58"/>
    </x:row>
    <x:row r="16" ht="15" hidden="0" customHeight="1">
      <x:c r="A16" s="58" t="str">
        <x:v>D-1010</x:v>
      </x:c>
      <x:c r="B16" s="65" t="str">
        <x:v>Evaluation</x:v>
      </x:c>
      <x:c r="C16" s="70" t="n">
        <x:v>95000</x:v>
      </x:c>
      <x:c r="D16" s="69" t="n">
        <x:v>46303</x:v>
      </x:c>
      <x:c r="E16" s="65" t="str">
        <x:v>Evaluation</x:v>
      </x:c>
      <x:c r="F16" s="70" t="n">
        <x:v>95000</x:v>
      </x:c>
      <x:c r="G16" s="69" t="n">
        <x:v>46303</x:v>
      </x:c>
      <x:c r="H16" s="58" t="str">
        <x:f>IF(B16="Absent",IF(OR(E16="Closed Won",E16="Closed Lost"),"Created closed","Created"),IF(E16="Absent","Removed",IF(AND(B16="Closed Lost",E16&lt;&gt;"Closed Lost"),"Reopened",IF(E16="Closed Won","Won",IF(E16="Closed Lost","Lost","Open")))))</x:f>
        <x:v>Open</x:v>
      </x:c>
      <x:c r="I16" s="58" t="str">
        <x:f>IF(F16&gt;C16,"Expanded",IF(F16&lt;C16,"Contracted","No value change"))</x:f>
        <x:v>No value change</x:v>
      </x:c>
      <x:c r="J16" s="58" t="str">
        <x:f>IF(OR(B16="Absent",E16="Absent",B16="Closed Won",B16="Closed Lost",E16="Closed Won",E16="Closed Lost"),"n.a.",IF(IFERROR(MATCH(E16,'STAGE MAP'!$A$7:$A$12,0),0)&gt;IFERROR(MATCH(B16,'STAGE MAP'!$A$7:$A$12,0),0),"Progressed",IF(IFERROR(MATCH(E16,'STAGE MAP'!$A$7:$A$12,0),0)&lt;IFERROR(MATCH(B16,'STAGE MAP'!$A$7:$A$12,0),0),"Regressed","Unchanged")))</x:f>
        <x:v>Unchanged</x:v>
      </x:c>
      <x:c r="K16" s="58" t="n">
        <x:f>IF(OR(D16="",G16=""),"n.a.",G16-D16)</x:f>
        <x:v>0</x:v>
      </x:c>
      <x:c r="L16" s="79" t="n">
        <x:f>IF(H16="Created",F16,IF(H16="Reopened",F16,IF(H16="Won",-C16,IF(H16="Lost",-C16,IF(H16="Removed",-C16,F16-C16)))))</x:f>
        <x:v>0</x:v>
      </x:c>
      <x:c r="M16" s="58" t="str">
        <x:f>IF(H16="Removed","Investigate missing record",IF(K16&gt;'START HERE'!$B$17,"Explain close-date slip",IF(J16="Regressed","Explain stage regression","")))</x:f>
      </x:c>
      <x:c r="N16" s="58"/>
      <x:c r="O16" s="58"/>
      <x:c r="P16" s="58"/>
      <x:c r="Q16" s="58"/>
      <x:c r="R16" s="58"/>
    </x:row>
    <x:row r="17" ht="15" hidden="0" customHeight="1">
      <x:c r="A17" s="58" t="str">
        <x:v>D-1011</x:v>
      </x:c>
      <x:c r="B17" s="65" t="str">
        <x:v>Qualified</x:v>
      </x:c>
      <x:c r="C17" s="70" t="n">
        <x:v>50000</x:v>
      </x:c>
      <x:c r="D17" s="69"/>
      <x:c r="E17" s="65" t="str">
        <x:v>Qualified</x:v>
      </x:c>
      <x:c r="F17" s="70" t="n">
        <x:v>50000</x:v>
      </x:c>
      <x:c r="G17" s="69"/>
      <x:c r="H17" s="58" t="str">
        <x:f>IF(B17="Absent",IF(OR(E17="Closed Won",E17="Closed Lost"),"Created closed","Created"),IF(E17="Absent","Removed",IF(AND(B17="Closed Lost",E17&lt;&gt;"Closed Lost"),"Reopened",IF(E17="Closed Won","Won",IF(E17="Closed Lost","Lost","Open")))))</x:f>
        <x:v>Open</x:v>
      </x:c>
      <x:c r="I17" s="58" t="str">
        <x:f>IF(F17&gt;C17,"Expanded",IF(F17&lt;C17,"Contracted","No value change"))</x:f>
        <x:v>No value change</x:v>
      </x:c>
      <x:c r="J17" s="58" t="str">
        <x:f>IF(OR(B17="Absent",E17="Absent",B17="Closed Won",B17="Closed Lost",E17="Closed Won",E17="Closed Lost"),"n.a.",IF(IFERROR(MATCH(E17,'STAGE MAP'!$A$7:$A$12,0),0)&gt;IFERROR(MATCH(B17,'STAGE MAP'!$A$7:$A$12,0),0),"Progressed",IF(IFERROR(MATCH(E17,'STAGE MAP'!$A$7:$A$12,0),0)&lt;IFERROR(MATCH(B17,'STAGE MAP'!$A$7:$A$12,0),0),"Regressed","Unchanged")))</x:f>
        <x:v>Unchanged</x:v>
      </x:c>
      <x:c r="K17" s="58" t="str">
        <x:f>IF(OR(D17="",G17=""),"n.a.",G17-D17)</x:f>
        <x:v>n.a.</x:v>
      </x:c>
      <x:c r="L17" s="79" t="n">
        <x:f>IF(H17="Created",F17,IF(H17="Reopened",F17,IF(H17="Won",-C17,IF(H17="Lost",-C17,IF(H17="Removed",-C17,F17-C17)))))</x:f>
        <x:v>0</x:v>
      </x:c>
      <x:c r="M17" s="58" t="str">
        <x:f>IF(H17="Removed","Investigate missing record",IF(K17&gt;'START HERE'!$B$17,"Explain close-date slip",IF(J17="Regressed","Explain stage regression","")))</x:f>
        <x:v>Explain close-date slip</x:v>
      </x:c>
      <x:c r="N17" s="58"/>
      <x:c r="O17" s="58"/>
      <x:c r="P17" s="58"/>
      <x:c r="Q17" s="58"/>
      <x:c r="R17" s="58"/>
    </x:row>
    <x:row r="18" ht="15" hidden="0" customHeight="1">
      <x:c r="A18" s="58" t="str">
        <x:v>D-1012</x:v>
      </x:c>
      <x:c r="B18" s="65" t="str">
        <x:v>Negotiation</x:v>
      </x:c>
      <x:c r="C18" s="70" t="n">
        <x:v>130000</x:v>
      </x:c>
      <x:c r="D18" s="69" t="n">
        <x:v>46292</x:v>
      </x:c>
      <x:c r="E18" s="65" t="str">
        <x:v>Negotiation</x:v>
      </x:c>
      <x:c r="F18" s="70" t="n">
        <x:v>130000</x:v>
      </x:c>
      <x:c r="G18" s="69" t="n">
        <x:v>46326</x:v>
      </x:c>
      <x:c r="H18" s="58" t="str">
        <x:f>IF(B18="Absent",IF(OR(E18="Closed Won",E18="Closed Lost"),"Created closed","Created"),IF(E18="Absent","Removed",IF(AND(B18="Closed Lost",E18&lt;&gt;"Closed Lost"),"Reopened",IF(E18="Closed Won","Won",IF(E18="Closed Lost","Lost","Open")))))</x:f>
        <x:v>Open</x:v>
      </x:c>
      <x:c r="I18" s="58" t="str">
        <x:f>IF(F18&gt;C18,"Expanded",IF(F18&lt;C18,"Contracted","No value change"))</x:f>
        <x:v>No value change</x:v>
      </x:c>
      <x:c r="J18" s="58" t="str">
        <x:f>IF(OR(B18="Absent",E18="Absent",B18="Closed Won",B18="Closed Lost",E18="Closed Won",E18="Closed Lost"),"n.a.",IF(IFERROR(MATCH(E18,'STAGE MAP'!$A$7:$A$12,0),0)&gt;IFERROR(MATCH(B18,'STAGE MAP'!$A$7:$A$12,0),0),"Progressed",IF(IFERROR(MATCH(E18,'STAGE MAP'!$A$7:$A$12,0),0)&lt;IFERROR(MATCH(B18,'STAGE MAP'!$A$7:$A$12,0),0),"Regressed","Unchanged")))</x:f>
        <x:v>Unchanged</x:v>
      </x:c>
      <x:c r="K18" s="58" t="n">
        <x:f>IF(OR(D18="",G18=""),"n.a.",G18-D18)</x:f>
        <x:v>34</x:v>
      </x:c>
      <x:c r="L18" s="79" t="n">
        <x:f>IF(H18="Created",F18,IF(H18="Reopened",F18,IF(H18="Won",-C18,IF(H18="Lost",-C18,IF(H18="Removed",-C18,F18-C18)))))</x:f>
        <x:v>0</x:v>
      </x:c>
      <x:c r="M18" s="58" t="str">
        <x:f>IF(H18="Removed","Investigate missing record",IF(K18&gt;'START HERE'!$B$17,"Explain close-date slip",IF(J18="Regressed","Explain stage regression","")))</x:f>
        <x:v>Explain close-date slip</x:v>
      </x:c>
      <x:c r="N18" s="58"/>
      <x:c r="O18" s="58"/>
      <x:c r="P18" s="58"/>
      <x:c r="Q18" s="58"/>
      <x:c r="R18" s="58"/>
    </x:row>
    <x:row r="19" ht="15" hidden="0" customHeight="1">
      <x:c r="A19" s="58" t="str">
        <x:v>D-1013</x:v>
      </x:c>
      <x:c r="B19" s="65" t="str">
        <x:v>Discovery</x:v>
      </x:c>
      <x:c r="C19" s="70" t="n">
        <x:v>30000</x:v>
      </x:c>
      <x:c r="D19" s="69" t="n">
        <x:v>46341</x:v>
      </x:c>
      <x:c r="E19" s="65" t="str">
        <x:v>Discovery</x:v>
      </x:c>
      <x:c r="F19" s="70" t="n">
        <x:v>30000</x:v>
      </x:c>
      <x:c r="G19" s="69" t="n">
        <x:v>46341</x:v>
      </x:c>
      <x:c r="H19" s="58" t="str">
        <x:f>IF(B19="Absent",IF(OR(E19="Closed Won",E19="Closed Lost"),"Created closed","Created"),IF(E19="Absent","Removed",IF(AND(B19="Closed Lost",E19&lt;&gt;"Closed Lost"),"Reopened",IF(E19="Closed Won","Won",IF(E19="Closed Lost","Lost","Open")))))</x:f>
        <x:v>Open</x:v>
      </x:c>
      <x:c r="I19" s="58" t="str">
        <x:f>IF(F19&gt;C19,"Expanded",IF(F19&lt;C19,"Contracted","No value change"))</x:f>
        <x:v>No value change</x:v>
      </x:c>
      <x:c r="J19" s="58" t="str">
        <x:f>IF(OR(B19="Absent",E19="Absent",B19="Closed Won",B19="Closed Lost",E19="Closed Won",E19="Closed Lost"),"n.a.",IF(IFERROR(MATCH(E19,'STAGE MAP'!$A$7:$A$12,0),0)&gt;IFERROR(MATCH(B19,'STAGE MAP'!$A$7:$A$12,0),0),"Progressed",IF(IFERROR(MATCH(E19,'STAGE MAP'!$A$7:$A$12,0),0)&lt;IFERROR(MATCH(B19,'STAGE MAP'!$A$7:$A$12,0),0),"Regressed","Unchanged")))</x:f>
        <x:v>Unchanged</x:v>
      </x:c>
      <x:c r="K19" s="58" t="n">
        <x:f>IF(OR(D19="",G19=""),"n.a.",G19-D19)</x:f>
        <x:v>0</x:v>
      </x:c>
      <x:c r="L19" s="79" t="n">
        <x:f>IF(H19="Created",F19,IF(H19="Reopened",F19,IF(H19="Won",-C19,IF(H19="Lost",-C19,IF(H19="Removed",-C19,F19-C19)))))</x:f>
        <x:v>0</x:v>
      </x:c>
      <x:c r="M19" s="58" t="str">
        <x:f>IF(H19="Removed","Investigate missing record",IF(K19&gt;'START HERE'!$B$17,"Explain close-date slip",IF(J19="Regressed","Explain stage regression","")))</x:f>
      </x:c>
      <x:c r="N19" s="58"/>
      <x:c r="O19" s="58"/>
      <x:c r="P19" s="58"/>
      <x:c r="Q19" s="58"/>
      <x:c r="R19" s="58"/>
    </x:row>
    <x:row r="20" ht="15" hidden="0" customHeight="1">
      <x:c r="A20" s="58" t="str">
        <x:v>D-1014</x:v>
      </x:c>
      <x:c r="B20" s="65" t="str">
        <x:v>Evaluation</x:v>
      </x:c>
      <x:c r="C20" s="70" t="n">
        <x:v>85000</x:v>
      </x:c>
      <x:c r="D20" s="69" t="n">
        <x:v>46291</x:v>
      </x:c>
      <x:c r="E20" s="65" t="str">
        <x:v>Closed Won</x:v>
      </x:c>
      <x:c r="F20" s="70" t="n">
        <x:v>85000</x:v>
      </x:c>
      <x:c r="G20" s="69" t="n">
        <x:v>46291</x:v>
      </x:c>
      <x:c r="H20" s="58" t="str">
        <x:f>IF(B20="Absent",IF(OR(E20="Closed Won",E20="Closed Lost"),"Created closed","Created"),IF(E20="Absent","Removed",IF(AND(B20="Closed Lost",E20&lt;&gt;"Closed Lost"),"Reopened",IF(E20="Closed Won","Won",IF(E20="Closed Lost","Lost","Open")))))</x:f>
        <x:v>Won</x:v>
      </x:c>
      <x:c r="I20" s="58" t="str">
        <x:f>IF(F20&gt;C20,"Expanded",IF(F20&lt;C20,"Contracted","No value change"))</x:f>
        <x:v>No value change</x:v>
      </x:c>
      <x:c r="J20" s="58" t="str">
        <x:f>IF(OR(B20="Absent",E20="Absent",B20="Closed Won",B20="Closed Lost",E20="Closed Won",E20="Closed Lost"),"n.a.",IF(IFERROR(MATCH(E20,'STAGE MAP'!$A$7:$A$12,0),0)&gt;IFERROR(MATCH(B20,'STAGE MAP'!$A$7:$A$12,0),0),"Progressed",IF(IFERROR(MATCH(E20,'STAGE MAP'!$A$7:$A$12,0),0)&lt;IFERROR(MATCH(B20,'STAGE MAP'!$A$7:$A$12,0),0),"Regressed","Unchanged")))</x:f>
        <x:v>n.a.</x:v>
      </x:c>
      <x:c r="K20" s="58" t="n">
        <x:f>IF(OR(D20="",G20=""),"n.a.",G20-D20)</x:f>
        <x:v>0</x:v>
      </x:c>
      <x:c r="L20" s="79" t="n">
        <x:f>IF(H20="Created",F20,IF(H20="Reopened",F20,IF(H20="Won",-C20,IF(H20="Lost",-C20,IF(H20="Removed",-C20,F20-C20)))))</x:f>
        <x:v>-85000</x:v>
      </x:c>
      <x:c r="M20" s="58" t="str">
        <x:f>IF(H20="Removed","Investigate missing record",IF(K20&gt;'START HERE'!$B$17,"Explain close-date slip",IF(J20="Regressed","Explain stage regression","")))</x:f>
      </x:c>
      <x:c r="N20" s="58"/>
      <x:c r="O20" s="58"/>
      <x:c r="P20" s="58"/>
      <x:c r="Q20" s="58"/>
      <x:c r="R20" s="58"/>
    </x:row>
    <x:row r="21" ht="15" hidden="0" customHeight="1">
      <x:c r="A21" s="58" t="str">
        <x:v>D-1015</x:v>
      </x:c>
      <x:c r="B21" s="65" t="str">
        <x:v>Closed Lost</x:v>
      </x:c>
      <x:c r="C21" s="70" t="n">
        <x:v>45000</x:v>
      </x:c>
      <x:c r="D21" s="69" t="n">
        <x:v>46270</x:v>
      </x:c>
      <x:c r="E21" s="65" t="str">
        <x:v>Qualified</x:v>
      </x:c>
      <x:c r="F21" s="70" t="n">
        <x:v>45000</x:v>
      </x:c>
      <x:c r="G21" s="69" t="n">
        <x:v>46323</x:v>
      </x:c>
      <x:c r="H21" s="58" t="str">
        <x:f>IF(B21="Absent",IF(OR(E21="Closed Won",E21="Closed Lost"),"Created closed","Created"),IF(E21="Absent","Removed",IF(AND(B21="Closed Lost",E21&lt;&gt;"Closed Lost"),"Reopened",IF(E21="Closed Won","Won",IF(E21="Closed Lost","Lost","Open")))))</x:f>
        <x:v>Reopened</x:v>
      </x:c>
      <x:c r="I21" s="58" t="str">
        <x:f>IF(F21&gt;C21,"Expanded",IF(F21&lt;C21,"Contracted","No value change"))</x:f>
        <x:v>No value change</x:v>
      </x:c>
      <x:c r="J21" s="58" t="str">
        <x:f>IF(OR(B21="Absent",E21="Absent",B21="Closed Won",B21="Closed Lost",E21="Closed Won",E21="Closed Lost"),"n.a.",IF(IFERROR(MATCH(E21,'STAGE MAP'!$A$7:$A$12,0),0)&gt;IFERROR(MATCH(B21,'STAGE MAP'!$A$7:$A$12,0),0),"Progressed",IF(IFERROR(MATCH(E21,'STAGE MAP'!$A$7:$A$12,0),0)&lt;IFERROR(MATCH(B21,'STAGE MAP'!$A$7:$A$12,0),0),"Regressed","Unchanged")))</x:f>
        <x:v>n.a.</x:v>
      </x:c>
      <x:c r="K21" s="58" t="n">
        <x:f>IF(OR(D21="",G21=""),"n.a.",G21-D21)</x:f>
        <x:v>53</x:v>
      </x:c>
      <x:c r="L21" s="79" t="n">
        <x:f>IF(H21="Created",F21,IF(H21="Reopened",F21,IF(H21="Won",-C21,IF(H21="Lost",-C21,IF(H21="Removed",-C21,F21-C21)))))</x:f>
        <x:v>45000</x:v>
      </x:c>
      <x:c r="M21" s="58" t="str">
        <x:f>IF(H21="Removed","Investigate missing record",IF(K21&gt;'START HERE'!$B$17,"Explain close-date slip",IF(J21="Regressed","Explain stage regression","")))</x:f>
        <x:v>Explain close-date slip</x:v>
      </x:c>
      <x:c r="N21" s="58"/>
      <x:c r="O21" s="58"/>
      <x:c r="P21" s="58"/>
      <x:c r="Q21" s="58"/>
      <x:c r="R21" s="58"/>
    </x:row>
    <x:row r="22" ht="15" hidden="0" customHeight="1">
      <x:c r="A22" s="58" t="str">
        <x:v>D-1016</x:v>
      </x:c>
      <x:c r="B22" s="65" t="str">
        <x:v>Negotiation</x:v>
      </x:c>
      <x:c r="C22" s="70" t="n">
        <x:v>105000</x:v>
      </x:c>
      <x:c r="D22" s="69" t="n">
        <x:v>46297</x:v>
      </x:c>
      <x:c r="E22" s="65" t="str">
        <x:v>Negotiation</x:v>
      </x:c>
      <x:c r="F22" s="70" t="n">
        <x:v>105000</x:v>
      </x:c>
      <x:c r="G22" s="69" t="n">
        <x:v>46297</x:v>
      </x:c>
      <x:c r="H22" s="58" t="str">
        <x:f>IF(B22="Absent",IF(OR(E22="Closed Won",E22="Closed Lost"),"Created closed","Created"),IF(E22="Absent","Removed",IF(AND(B22="Closed Lost",E22&lt;&gt;"Closed Lost"),"Reopened",IF(E22="Closed Won","Won",IF(E22="Closed Lost","Lost","Open")))))</x:f>
        <x:v>Open</x:v>
      </x:c>
      <x:c r="I22" s="58" t="str">
        <x:f>IF(F22&gt;C22,"Expanded",IF(F22&lt;C22,"Contracted","No value change"))</x:f>
        <x:v>No value change</x:v>
      </x:c>
      <x:c r="J22" s="58" t="str">
        <x:f>IF(OR(B22="Absent",E22="Absent",B22="Closed Won",B22="Closed Lost",E22="Closed Won",E22="Closed Lost"),"n.a.",IF(IFERROR(MATCH(E22,'STAGE MAP'!$A$7:$A$12,0),0)&gt;IFERROR(MATCH(B22,'STAGE MAP'!$A$7:$A$12,0),0),"Progressed",IF(IFERROR(MATCH(E22,'STAGE MAP'!$A$7:$A$12,0),0)&lt;IFERROR(MATCH(B22,'STAGE MAP'!$A$7:$A$12,0),0),"Regressed","Unchanged")))</x:f>
        <x:v>Unchanged</x:v>
      </x:c>
      <x:c r="K22" s="58" t="n">
        <x:f>IF(OR(D22="",G22=""),"n.a.",G22-D22)</x:f>
        <x:v>0</x:v>
      </x:c>
      <x:c r="L22" s="79" t="n">
        <x:f>IF(H22="Created",F22,IF(H22="Reopened",F22,IF(H22="Won",-C22,IF(H22="Lost",-C22,IF(H22="Removed",-C22,F22-C22)))))</x:f>
        <x:v>0</x:v>
      </x:c>
      <x:c r="M22" s="58" t="str">
        <x:f>IF(H22="Removed","Investigate missing record",IF(K22&gt;'START HERE'!$B$17,"Explain close-date slip",IF(J22="Regressed","Explain stage regression","")))</x:f>
      </x:c>
      <x:c r="N22" s="58"/>
      <x:c r="O22" s="58"/>
      <x:c r="P22" s="58"/>
      <x:c r="Q22" s="58"/>
      <x:c r="R22" s="58"/>
    </x:row>
    <x:row r="23" ht="15" hidden="0" customHeight="1">
      <x:c r="A23" s="58" t="str">
        <x:v>D-1017</x:v>
      </x:c>
      <x:c r="B23" s="65" t="str">
        <x:v>Discovery</x:v>
      </x:c>
      <x:c r="C23" s="70" t="n">
        <x:v>25000</x:v>
      </x:c>
      <x:c r="D23" s="69" t="n">
        <x:v>46320</x:v>
      </x:c>
      <x:c r="E23" s="65" t="str">
        <x:v>Absent</x:v>
      </x:c>
      <x:c r="F23" s="70" t="n">
        <x:v>0</x:v>
      </x:c>
      <x:c r="G23" s="69"/>
      <x:c r="H23" s="58" t="str">
        <x:f>IF(B23="Absent",IF(OR(E23="Closed Won",E23="Closed Lost"),"Created closed","Created"),IF(E23="Absent","Removed",IF(AND(B23="Closed Lost",E23&lt;&gt;"Closed Lost"),"Reopened",IF(E23="Closed Won","Won",IF(E23="Closed Lost","Lost","Open")))))</x:f>
        <x:v>Removed</x:v>
      </x:c>
      <x:c r="I23" s="58" t="str">
        <x:f>IF(F23&gt;C23,"Expanded",IF(F23&lt;C23,"Contracted","No value change"))</x:f>
        <x:v>Contracted</x:v>
      </x:c>
      <x:c r="J23" s="58" t="str">
        <x:f>IF(OR(B23="Absent",E23="Absent",B23="Closed Won",B23="Closed Lost",E23="Closed Won",E23="Closed Lost"),"n.a.",IF(IFERROR(MATCH(E23,'STAGE MAP'!$A$7:$A$12,0),0)&gt;IFERROR(MATCH(B23,'STAGE MAP'!$A$7:$A$12,0),0),"Progressed",IF(IFERROR(MATCH(E23,'STAGE MAP'!$A$7:$A$12,0),0)&lt;IFERROR(MATCH(B23,'STAGE MAP'!$A$7:$A$12,0),0),"Regressed","Unchanged")))</x:f>
        <x:v>n.a.</x:v>
      </x:c>
      <x:c r="K23" s="58" t="str">
        <x:f>IF(OR(D23="",G23=""),"n.a.",G23-D23)</x:f>
        <x:v>n.a.</x:v>
      </x:c>
      <x:c r="L23" s="79" t="n">
        <x:f>IF(H23="Created",F23,IF(H23="Reopened",F23,IF(H23="Won",-C23,IF(H23="Lost",-C23,IF(H23="Removed",-C23,F23-C23)))))</x:f>
        <x:v>-25000</x:v>
      </x:c>
      <x:c r="M23" s="58" t="str">
        <x:f>IF(H23="Removed","Investigate missing record",IF(K23&gt;'START HERE'!$B$17,"Explain close-date slip",IF(J23="Regressed","Explain stage regression","")))</x:f>
        <x:v>Investigate missing record</x:v>
      </x:c>
      <x:c r="N23" s="58"/>
      <x:c r="O23" s="58"/>
      <x:c r="P23" s="58"/>
      <x:c r="Q23" s="58"/>
      <x:c r="R23" s="58"/>
    </x:row>
    <x:row r="24" ht="15" hidden="0" customHeight="1">
      <x:c r="A24" s="58" t="str">
        <x:v>D-1018</x:v>
      </x:c>
      <x:c r="B24" s="65" t="str">
        <x:v>Evaluation</x:v>
      </x:c>
      <x:c r="C24" s="70" t="n">
        <x:v>70000</x:v>
      </x:c>
      <x:c r="D24" s="69" t="n">
        <x:v>46315</x:v>
      </x:c>
      <x:c r="E24" s="65" t="str">
        <x:v>Evaluation</x:v>
      </x:c>
      <x:c r="F24" s="70" t="n">
        <x:v>70000</x:v>
      </x:c>
      <x:c r="G24" s="69" t="n">
        <x:v>46315</x:v>
      </x:c>
      <x:c r="H24" s="58" t="str">
        <x:f>IF(B24="Absent",IF(OR(E24="Closed Won",E24="Closed Lost"),"Created closed","Created"),IF(E24="Absent","Removed",IF(AND(B24="Closed Lost",E24&lt;&gt;"Closed Lost"),"Reopened",IF(E24="Closed Won","Won",IF(E24="Closed Lost","Lost","Open")))))</x:f>
        <x:v>Open</x:v>
      </x:c>
      <x:c r="I24" s="58" t="str">
        <x:f>IF(F24&gt;C24,"Expanded",IF(F24&lt;C24,"Contracted","No value change"))</x:f>
        <x:v>No value change</x:v>
      </x:c>
      <x:c r="J24" s="58" t="str">
        <x:f>IF(OR(B24="Absent",E24="Absent",B24="Closed Won",B24="Closed Lost",E24="Closed Won",E24="Closed Lost"),"n.a.",IF(IFERROR(MATCH(E24,'STAGE MAP'!$A$7:$A$12,0),0)&gt;IFERROR(MATCH(B24,'STAGE MAP'!$A$7:$A$12,0),0),"Progressed",IF(IFERROR(MATCH(E24,'STAGE MAP'!$A$7:$A$12,0),0)&lt;IFERROR(MATCH(B24,'STAGE MAP'!$A$7:$A$12,0),0),"Regressed","Unchanged")))</x:f>
        <x:v>Unchanged</x:v>
      </x:c>
      <x:c r="K24" s="58" t="n">
        <x:f>IF(OR(D24="",G24=""),"n.a.",G24-D24)</x:f>
        <x:v>0</x:v>
      </x:c>
      <x:c r="L24" s="79" t="n">
        <x:f>IF(H24="Created",F24,IF(H24="Reopened",F24,IF(H24="Won",-C24,IF(H24="Lost",-C24,IF(H24="Removed",-C24,F24-C24)))))</x:f>
        <x:v>0</x:v>
      </x:c>
      <x:c r="M24" s="58" t="str">
        <x:f>IF(H24="Removed","Investigate missing record",IF(K24&gt;'START HERE'!$B$17,"Explain close-date slip",IF(J24="Regressed","Explain stage regression","")))</x:f>
      </x:c>
      <x:c r="N24" s="58"/>
      <x:c r="O24" s="58"/>
      <x:c r="P24" s="58"/>
      <x:c r="Q24" s="58"/>
      <x:c r="R24" s="58"/>
    </x:row>
    <x:row r="25" ht="15" hidden="0" customHeight="1">
      <x:c r="A25" s="58" t="str">
        <x:v>D-1019</x:v>
      </x:c>
      <x:c r="B25" s="65" t="str">
        <x:v>Qualified</x:v>
      </x:c>
      <x:c r="C25" s="70" t="n">
        <x:v>60000</x:v>
      </x:c>
      <x:c r="D25" s="69" t="n">
        <x:v>46331</x:v>
      </x:c>
      <x:c r="E25" s="65" t="str">
        <x:v>Qualified</x:v>
      </x:c>
      <x:c r="F25" s="70" t="n">
        <x:v>60000</x:v>
      </x:c>
      <x:c r="G25" s="69" t="n">
        <x:v>46331</x:v>
      </x:c>
      <x:c r="H25" s="58" t="str">
        <x:f>IF(B25="Absent",IF(OR(E25="Closed Won",E25="Closed Lost"),"Created closed","Created"),IF(E25="Absent","Removed",IF(AND(B25="Closed Lost",E25&lt;&gt;"Closed Lost"),"Reopened",IF(E25="Closed Won","Won",IF(E25="Closed Lost","Lost","Open")))))</x:f>
        <x:v>Open</x:v>
      </x:c>
      <x:c r="I25" s="58" t="str">
        <x:f>IF(F25&gt;C25,"Expanded",IF(F25&lt;C25,"Contracted","No value change"))</x:f>
        <x:v>No value change</x:v>
      </x:c>
      <x:c r="J25" s="58" t="str">
        <x:f>IF(OR(B25="Absent",E25="Absent",B25="Closed Won",B25="Closed Lost",E25="Closed Won",E25="Closed Lost"),"n.a.",IF(IFERROR(MATCH(E25,'STAGE MAP'!$A$7:$A$12,0),0)&gt;IFERROR(MATCH(B25,'STAGE MAP'!$A$7:$A$12,0),0),"Progressed",IF(IFERROR(MATCH(E25,'STAGE MAP'!$A$7:$A$12,0),0)&lt;IFERROR(MATCH(B25,'STAGE MAP'!$A$7:$A$12,0),0),"Regressed","Unchanged")))</x:f>
        <x:v>Unchanged</x:v>
      </x:c>
      <x:c r="K25" s="58" t="n">
        <x:f>IF(OR(D25="",G25=""),"n.a.",G25-D25)</x:f>
        <x:v>0</x:v>
      </x:c>
      <x:c r="L25" s="79" t="n">
        <x:f>IF(H25="Created",F25,IF(H25="Reopened",F25,IF(H25="Won",-C25,IF(H25="Lost",-C25,IF(H25="Removed",-C25,F25-C25)))))</x:f>
        <x:v>0</x:v>
      </x:c>
      <x:c r="M25" s="58" t="str">
        <x:f>IF(H25="Removed","Investigate missing record",IF(K25&gt;'START HERE'!$B$17,"Explain close-date slip",IF(J25="Regressed","Explain stage regression","")))</x:f>
      </x:c>
      <x:c r="N25" s="58"/>
      <x:c r="O25" s="58"/>
      <x:c r="P25" s="58"/>
      <x:c r="Q25" s="58"/>
      <x:c r="R25" s="58"/>
    </x:row>
    <x:row r="26" ht="15" hidden="0" customHeight="1">
      <x:c r="A26" s="58" t="str">
        <x:v>D-1020</x:v>
      </x:c>
      <x:c r="B26" s="65" t="str">
        <x:v>Negotiation</x:v>
      </x:c>
      <x:c r="C26" s="70" t="n">
        <x:v>115000</x:v>
      </x:c>
      <x:c r="D26" s="69" t="n">
        <x:v>46296</x:v>
      </x:c>
      <x:c r="E26" s="65" t="str">
        <x:v>Negotiation</x:v>
      </x:c>
      <x:c r="F26" s="70" t="n">
        <x:v>115000</x:v>
      </x:c>
      <x:c r="G26" s="69" t="n">
        <x:v>46296</x:v>
      </x:c>
      <x:c r="H26" s="58" t="str">
        <x:f>IF(B26="Absent",IF(OR(E26="Closed Won",E26="Closed Lost"),"Created closed","Created"),IF(E26="Absent","Removed",IF(AND(B26="Closed Lost",E26&lt;&gt;"Closed Lost"),"Reopened",IF(E26="Closed Won","Won",IF(E26="Closed Lost","Lost","Open")))))</x:f>
        <x:v>Open</x:v>
      </x:c>
      <x:c r="I26" s="58" t="str">
        <x:f>IF(F26&gt;C26,"Expanded",IF(F26&lt;C26,"Contracted","No value change"))</x:f>
        <x:v>No value change</x:v>
      </x:c>
      <x:c r="J26" s="58" t="str">
        <x:f>IF(OR(B26="Absent",E26="Absent",B26="Closed Won",B26="Closed Lost",E26="Closed Won",E26="Closed Lost"),"n.a.",IF(IFERROR(MATCH(E26,'STAGE MAP'!$A$7:$A$12,0),0)&gt;IFERROR(MATCH(B26,'STAGE MAP'!$A$7:$A$12,0),0),"Progressed",IF(IFERROR(MATCH(E26,'STAGE MAP'!$A$7:$A$12,0),0)&lt;IFERROR(MATCH(B26,'STAGE MAP'!$A$7:$A$12,0),0),"Regressed","Unchanged")))</x:f>
        <x:v>Unchanged</x:v>
      </x:c>
      <x:c r="K26" s="58" t="n">
        <x:f>IF(OR(D26="",G26=""),"n.a.",G26-D26)</x:f>
        <x:v>0</x:v>
      </x:c>
      <x:c r="L26" s="79" t="n">
        <x:f>IF(H26="Created",F26,IF(H26="Reopened",F26,IF(H26="Won",-C26,IF(H26="Lost",-C26,IF(H26="Removed",-C26,F26-C26)))))</x:f>
        <x:v>0</x:v>
      </x:c>
      <x:c r="M26" s="58" t="str">
        <x:f>IF(H26="Removed","Investigate missing record",IF(K26&gt;'START HERE'!$B$17,"Explain close-date slip",IF(J26="Regressed","Explain stage regression","")))</x:f>
      </x:c>
      <x:c r="N26" s="58"/>
      <x:c r="O26" s="58"/>
      <x:c r="P26" s="58"/>
      <x:c r="Q26" s="58"/>
      <x:c r="R26" s="58"/>
    </x:row>
    <x:row r="27" ht="15" hidden="0" customHeight="1">
      <x:c r="A27" s="58" t="str">
        <x:v>D-1021</x:v>
      </x:c>
      <x:c r="B27" s="65" t="str">
        <x:v>Discovery</x:v>
      </x:c>
      <x:c r="C27" s="70" t="n">
        <x:v>0</x:v>
      </x:c>
      <x:c r="D27" s="69" t="n">
        <x:v>46346</x:v>
      </x:c>
      <x:c r="E27" s="65" t="str">
        <x:v>Discovery</x:v>
      </x:c>
      <x:c r="F27" s="70" t="n">
        <x:v>0</x:v>
      </x:c>
      <x:c r="G27" s="69" t="n">
        <x:v>46346</x:v>
      </x:c>
      <x:c r="H27" s="58" t="str">
        <x:f>IF(B27="Absent",IF(OR(E27="Closed Won",E27="Closed Lost"),"Created closed","Created"),IF(E27="Absent","Removed",IF(AND(B27="Closed Lost",E27&lt;&gt;"Closed Lost"),"Reopened",IF(E27="Closed Won","Won",IF(E27="Closed Lost","Lost","Open")))))</x:f>
        <x:v>Open</x:v>
      </x:c>
      <x:c r="I27" s="58" t="str">
        <x:f>IF(F27&gt;C27,"Expanded",IF(F27&lt;C27,"Contracted","No value change"))</x:f>
        <x:v>No value change</x:v>
      </x:c>
      <x:c r="J27" s="58" t="str">
        <x:f>IF(OR(B27="Absent",E27="Absent",B27="Closed Won",B27="Closed Lost",E27="Closed Won",E27="Closed Lost"),"n.a.",IF(IFERROR(MATCH(E27,'STAGE MAP'!$A$7:$A$12,0),0)&gt;IFERROR(MATCH(B27,'STAGE MAP'!$A$7:$A$12,0),0),"Progressed",IF(IFERROR(MATCH(E27,'STAGE MAP'!$A$7:$A$12,0),0)&lt;IFERROR(MATCH(B27,'STAGE MAP'!$A$7:$A$12,0),0),"Regressed","Unchanged")))</x:f>
        <x:v>Unchanged</x:v>
      </x:c>
      <x:c r="K27" s="58" t="n">
        <x:f>IF(OR(D27="",G27=""),"n.a.",G27-D27)</x:f>
        <x:v>0</x:v>
      </x:c>
      <x:c r="L27" s="79" t="n">
        <x:f>IF(H27="Created",F27,IF(H27="Reopened",F27,IF(H27="Won",-C27,IF(H27="Lost",-C27,IF(H27="Removed",-C27,F27-C27)))))</x:f>
        <x:v>0</x:v>
      </x:c>
      <x:c r="M27" s="58" t="str">
        <x:f>IF(H27="Removed","Investigate missing record",IF(K27&gt;'START HERE'!$B$17,"Explain close-date slip",IF(J27="Regressed","Explain stage regression","")))</x:f>
      </x:c>
      <x:c r="N27" s="58"/>
      <x:c r="O27" s="58"/>
      <x:c r="P27" s="58"/>
      <x:c r="Q27" s="58"/>
      <x:c r="R27" s="58"/>
    </x:row>
    <x:row r="28" ht="15" hidden="0" customHeight="1">
      <x:c r="A28" s="58" t="str">
        <x:v>D-1022</x:v>
      </x:c>
      <x:c r="B28" s="65" t="str">
        <x:v>Evaluation</x:v>
      </x:c>
      <x:c r="C28" s="70" t="n">
        <x:v>75000</x:v>
      </x:c>
      <x:c r="D28" s="69" t="n">
        <x:v>46313</x:v>
      </x:c>
      <x:c r="E28" s="65" t="str">
        <x:v>Evaluation</x:v>
      </x:c>
      <x:c r="F28" s="70" t="n">
        <x:v>75000</x:v>
      </x:c>
      <x:c r="G28" s="69" t="n">
        <x:v>46313</x:v>
      </x:c>
      <x:c r="H28" s="58" t="str">
        <x:f>IF(B28="Absent",IF(OR(E28="Closed Won",E28="Closed Lost"),"Created closed","Created"),IF(E28="Absent","Removed",IF(AND(B28="Closed Lost",E28&lt;&gt;"Closed Lost"),"Reopened",IF(E28="Closed Won","Won",IF(E28="Closed Lost","Lost","Open")))))</x:f>
        <x:v>Open</x:v>
      </x:c>
      <x:c r="I28" s="58" t="str">
        <x:f>IF(F28&gt;C28,"Expanded",IF(F28&lt;C28,"Contracted","No value change"))</x:f>
        <x:v>No value change</x:v>
      </x:c>
      <x:c r="J28" s="58" t="str">
        <x:f>IF(OR(B28="Absent",E28="Absent",B28="Closed Won",B28="Closed Lost",E28="Closed Won",E28="Closed Lost"),"n.a.",IF(IFERROR(MATCH(E28,'STAGE MAP'!$A$7:$A$12,0),0)&gt;IFERROR(MATCH(B28,'STAGE MAP'!$A$7:$A$12,0),0),"Progressed",IF(IFERROR(MATCH(E28,'STAGE MAP'!$A$7:$A$12,0),0)&lt;IFERROR(MATCH(B28,'STAGE MAP'!$A$7:$A$12,0),0),"Regressed","Unchanged")))</x:f>
        <x:v>Unchanged</x:v>
      </x:c>
      <x:c r="K28" s="58" t="n">
        <x:f>IF(OR(D28="",G28=""),"n.a.",G28-D28)</x:f>
        <x:v>0</x:v>
      </x:c>
      <x:c r="L28" s="79" t="n">
        <x:f>IF(H28="Created",F28,IF(H28="Reopened",F28,IF(H28="Won",-C28,IF(H28="Lost",-C28,IF(H28="Removed",-C28,F28-C28)))))</x:f>
        <x:v>0</x:v>
      </x:c>
      <x:c r="M28" s="58" t="str">
        <x:f>IF(H28="Removed","Investigate missing record",IF(K28&gt;'START HERE'!$B$17,"Explain close-date slip",IF(J28="Regressed","Explain stage regression","")))</x:f>
      </x:c>
      <x:c r="N28" s="58"/>
      <x:c r="O28" s="58"/>
      <x:c r="P28" s="58"/>
      <x:c r="Q28" s="58"/>
      <x:c r="R28" s="58"/>
    </x:row>
    <x:row r="29" ht="15" hidden="0" customHeight="1">
      <x:c r="A29" s="58" t="str">
        <x:v>D-1023</x:v>
      </x:c>
      <x:c r="B29" s="65" t="str">
        <x:v>Absent</x:v>
      </x:c>
      <x:c r="C29" s="70" t="n">
        <x:v>0</x:v>
      </x:c>
      <x:c r="D29" s="69"/>
      <x:c r="E29" s="65" t="str">
        <x:v>Qualified</x:v>
      </x:c>
      <x:c r="F29" s="70" t="n">
        <x:v>88000</x:v>
      </x:c>
      <x:c r="G29" s="69" t="n">
        <x:v>46336</x:v>
      </x:c>
      <x:c r="H29" s="58" t="str">
        <x:f>IF(B29="Absent",IF(OR(E29="Closed Won",E29="Closed Lost"),"Created closed","Created"),IF(E29="Absent","Removed",IF(AND(B29="Closed Lost",E29&lt;&gt;"Closed Lost"),"Reopened",IF(E29="Closed Won","Won",IF(E29="Closed Lost","Lost","Open")))))</x:f>
        <x:v>Created</x:v>
      </x:c>
      <x:c r="I29" s="58" t="str">
        <x:f>IF(F29&gt;C29,"Expanded",IF(F29&lt;C29,"Contracted","No value change"))</x:f>
        <x:v>Expanded</x:v>
      </x:c>
      <x:c r="J29" s="58" t="str">
        <x:f>IF(OR(B29="Absent",E29="Absent",B29="Closed Won",B29="Closed Lost",E29="Closed Won",E29="Closed Lost"),"n.a.",IF(IFERROR(MATCH(E29,'STAGE MAP'!$A$7:$A$12,0),0)&gt;IFERROR(MATCH(B29,'STAGE MAP'!$A$7:$A$12,0),0),"Progressed",IF(IFERROR(MATCH(E29,'STAGE MAP'!$A$7:$A$12,0),0)&lt;IFERROR(MATCH(B29,'STAGE MAP'!$A$7:$A$12,0),0),"Regressed","Unchanged")))</x:f>
        <x:v>n.a.</x:v>
      </x:c>
      <x:c r="K29" s="58" t="str">
        <x:f>IF(OR(D29="",G29=""),"n.a.",G29-D29)</x:f>
        <x:v>n.a.</x:v>
      </x:c>
      <x:c r="L29" s="79" t="n">
        <x:f>IF(H29="Created",F29,IF(H29="Reopened",F29,IF(H29="Won",-C29,IF(H29="Lost",-C29,IF(H29="Removed",-C29,F29-C29)))))</x:f>
        <x:v>88000</x:v>
      </x:c>
      <x:c r="M29" s="58" t="str">
        <x:f>IF(H29="Removed","Investigate missing record",IF(K29&gt;'START HERE'!$B$17,"Explain close-date slip",IF(J29="Regressed","Explain stage regression","")))</x:f>
        <x:v>Explain close-date slip</x:v>
      </x:c>
      <x:c r="N29" s="58"/>
      <x:c r="O29" s="58"/>
      <x:c r="P29" s="58"/>
      <x:c r="Q29" s="58"/>
      <x:c r="R29" s="58"/>
    </x:row>
    <x:row r="30" ht="15" hidden="0" customHeight="1">
      <x:c r="A30" s="58" t="str">
        <x:v>D-1024</x:v>
      </x:c>
      <x:c r="B30" s="65" t="str">
        <x:v>Absent</x:v>
      </x:c>
      <x:c r="C30" s="70" t="n">
        <x:v>0</x:v>
      </x:c>
      <x:c r="D30" s="69"/>
      <x:c r="E30" s="65" t="str">
        <x:v>Discovery</x:v>
      </x:c>
      <x:c r="F30" s="70" t="n">
        <x:v>52000</x:v>
      </x:c>
      <x:c r="G30" s="69" t="n">
        <x:v>46356</x:v>
      </x:c>
      <x:c r="H30" s="58" t="str">
        <x:f>IF(B30="Absent",IF(OR(E30="Closed Won",E30="Closed Lost"),"Created closed","Created"),IF(E30="Absent","Removed",IF(AND(B30="Closed Lost",E30&lt;&gt;"Closed Lost"),"Reopened",IF(E30="Closed Won","Won",IF(E30="Closed Lost","Lost","Open")))))</x:f>
        <x:v>Created</x:v>
      </x:c>
      <x:c r="I30" s="58" t="str">
        <x:f>IF(F30&gt;C30,"Expanded",IF(F30&lt;C30,"Contracted","No value change"))</x:f>
        <x:v>Expanded</x:v>
      </x:c>
      <x:c r="J30" s="58" t="str">
        <x:f>IF(OR(B30="Absent",E30="Absent",B30="Closed Won",B30="Closed Lost",E30="Closed Won",E30="Closed Lost"),"n.a.",IF(IFERROR(MATCH(E30,'STAGE MAP'!$A$7:$A$12,0),0)&gt;IFERROR(MATCH(B30,'STAGE MAP'!$A$7:$A$12,0),0),"Progressed",IF(IFERROR(MATCH(E30,'STAGE MAP'!$A$7:$A$12,0),0)&lt;IFERROR(MATCH(B30,'STAGE MAP'!$A$7:$A$12,0),0),"Regressed","Unchanged")))</x:f>
        <x:v>n.a.</x:v>
      </x:c>
      <x:c r="K30" s="58" t="str">
        <x:f>IF(OR(D30="",G30=""),"n.a.",G30-D30)</x:f>
        <x:v>n.a.</x:v>
      </x:c>
      <x:c r="L30" s="79" t="n">
        <x:f>IF(H30="Created",F30,IF(H30="Reopened",F30,IF(H30="Won",-C30,IF(H30="Lost",-C30,IF(H30="Removed",-C30,F30-C30)))))</x:f>
        <x:v>52000</x:v>
      </x:c>
      <x:c r="M30" s="58" t="str">
        <x:f>IF(H30="Removed","Investigate missing record",IF(K30&gt;'START HERE'!$B$17,"Explain close-date slip",IF(J30="Regressed","Explain stage regression","")))</x:f>
        <x:v>Explain close-date slip</x:v>
      </x:c>
      <x:c r="N30" s="58"/>
      <x:c r="O30" s="58"/>
      <x:c r="P30" s="58"/>
      <x:c r="Q30" s="58"/>
      <x:c r="R30" s="58"/>
    </x:row>
  </x:sheetData>
  <x:mergeCells>
    <x:mergeCell ref="A2:N2"/>
    <x:mergeCell ref="A3:N3"/>
    <x:mergeCell ref="O6:R6"/>
  </x:mergeCells>
  <x:conditionalFormatting sqref="P11:P11">
    <x:cfRule type="cellIs" dxfId="2" priority="1" operator="notEqual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14" hidden="0" customWidth="1"/>
    <x:col min="4" max="4" width="32" hidden="0" customWidth="1"/>
    <x:col min="5" max="5" width="38" hidden="0" customWidth="1"/>
    <x:col min="6" max="6" width="3" hidden="0" customWidth="1"/>
    <x:col min="7" max="7" width="13" hidden="0" customWidth="1"/>
    <x:col min="8" max="8" width="23" hidden="0" customWidth="1"/>
    <x:col min="9" max="9" width="13" hidden="0" customWidth="1"/>
    <x:col min="10" max="10" width="16" hidden="0" customWidth="1"/>
    <x:col min="11" max="11" width="14" hidden="0" customWidth="1"/>
    <x:col min="12" max="12" width="18" hidden="0" customWidth="1"/>
    <x:col min="13" max="13" width="14" hidden="0" customWidth="1"/>
    <x:col min="14" max="14" width="15" hidden="0" customWidth="1"/>
    <x:col min="15" max="15" width="28" hidden="0" customWidth="1"/>
    <x:col min="16" max="16" width="28" hidden="0" customWidth="1"/>
  </x:cols>
  <x:sheetData>
    <x:row r="2" ht="18" hidden="0" customHeight="1">
      <x:c r="A2" s="57" t="str">
        <x:v>Pipeline health</x:v>
      </x:c>
      <x:c r="B2" s="58"/>
      <x:c r="C2" s="58"/>
      <x:c r="D2" s="58"/>
      <x:c r="E2" s="58"/>
      <x:c r="F2" s="58"/>
      <x:c r="G2" s="58"/>
      <x:c r="H2" s="58"/>
      <x:c r="I2" s="58"/>
      <x:c r="J2" s="58"/>
      <x:c r="K2" s="58"/>
      <x:c r="L2" s="58"/>
      <x:c r="M2" s="58"/>
      <x:c r="N2" s="58"/>
      <x:c r="O2" s="58"/>
      <x:c r="P2" s="58"/>
    </x:row>
    <x:row r="3" ht="15" hidden="0" customHeight="1">
      <x:c r="A3" s="59" t="str">
        <x:v>A failed check is a prompt for review, not an automatic forecast decision.</x:v>
      </x:c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  <x:c r="J4" s="60"/>
      <x:c r="K4" s="60"/>
      <x:c r="L4" s="60"/>
      <x:c r="M4" s="60"/>
      <x:c r="N4" s="60"/>
      <x:c r="O4" s="60"/>
      <x:c r="P4" s="60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  <x:c r="J5" s="58"/>
      <x:c r="K5" s="58"/>
      <x:c r="L5" s="58"/>
      <x:c r="M5" s="58"/>
      <x:c r="N5" s="58"/>
      <x:c r="O5" s="58"/>
      <x:c r="P5" s="58"/>
    </x:row>
    <x:row r="6" ht="15" hidden="0" customHeight="1">
      <x:c r="A6" s="66" t="str">
        <x:v>Check ID</x:v>
      </x:c>
      <x:c r="B6" s="67" t="str">
        <x:v>Check</x:v>
      </x:c>
      <x:c r="C6" s="67" t="str">
        <x:v>Issue count</x:v>
      </x:c>
      <x:c r="D6" s="67" t="str">
        <x:v>Default trigger</x:v>
      </x:c>
      <x:c r="E6" s="68" t="str">
        <x:v>Required action</x:v>
      </x:c>
      <x:c r="F6" s="58"/>
      <x:c r="G6" s="61" t="str">
        <x:v>Largest current exceptions</x:v>
      </x:c>
      <x:c r="H6" s="62"/>
      <x:c r="I6" s="62"/>
      <x:c r="J6" s="62"/>
      <x:c r="K6" s="62"/>
      <x:c r="L6" s="62"/>
      <x:c r="M6" s="62"/>
      <x:c r="N6" s="62"/>
      <x:c r="O6" s="62"/>
      <x:c r="P6" s="63"/>
    </x:row>
    <x:row r="7" ht="15" hidden="0" customHeight="1">
      <x:c r="A7" s="58" t="str">
        <x:v>H01</x:v>
      </x:c>
      <x:c r="B7" s="58" t="str">
        <x:v>Missing owner</x:v>
      </x:c>
      <x:c r="C7" s="58" t="n">
        <x:f>SUM('RAW DEALS'!$W$7:$W$29)</x:f>
        <x:v>1</x:v>
      </x:c>
      <x:c r="D7" s="58" t="str">
        <x:v>Open deal has no owner</x:v>
      </x:c>
      <x:c r="E7" s="58" t="str">
        <x:v>Assign an accountable owner</x:v>
      </x:c>
      <x:c r="F7" s="58"/>
      <x:c r="G7" s="66" t="str">
        <x:v>deal_id</x:v>
      </x:c>
      <x:c r="H7" s="67" t="str">
        <x:v>deal_name</x:v>
      </x:c>
      <x:c r="I7" s="67" t="str">
        <x:v>owner</x:v>
      </x:c>
      <x:c r="J7" s="67" t="str">
        <x:v>stage</x:v>
      </x:c>
      <x:c r="K7" s="67" t="str">
        <x:v>amount</x:v>
      </x:c>
      <x:c r="L7" s="67" t="str">
        <x:v>days since activity</x:v>
      </x:c>
      <x:c r="M7" s="67" t="str">
        <x:v>close date</x:v>
      </x:c>
      <x:c r="N7" s="67" t="str">
        <x:v>next activity</x:v>
      </x:c>
      <x:c r="O7" s="67" t="str">
        <x:v>exception</x:v>
      </x:c>
      <x:c r="P7" s="68" t="str">
        <x:v>owner action</x:v>
      </x:c>
    </x:row>
    <x:row r="8" ht="15" hidden="0" customHeight="1">
      <x:c r="A8" s="58" t="str">
        <x:v>H02</x:v>
      </x:c>
      <x:c r="B8" s="58" t="str">
        <x:v>Missing amount</x:v>
      </x:c>
      <x:c r="C8" s="58" t="n">
        <x:f>COUNTIFS('RAW DEALS'!$G$7:$G$29,0,'RAW DEALS'!$E$7:$E$29,"&lt;&gt;Closed Won",'RAW DEALS'!$E$7:$E$29,"&lt;&gt;Closed Lost")</x:f>
        <x:v>1</x:v>
      </x:c>
      <x:c r="D8" s="58" t="str">
        <x:v>Open deal has blank or zero amount</x:v>
      </x:c>
      <x:c r="E8" s="58" t="str">
        <x:v>Confirm value or exclude from forecast</x:v>
      </x:c>
      <x:c r="F8" s="58"/>
      <x:c r="G8" s="58" t="str">
        <x:v>D-1009</x:v>
      </x:c>
      <x:c r="H8" s="58" t="str">
        <x:v>Ion Services</x:v>
      </x:c>
      <x:c r="I8" s="58" t="str">
        <x:v>Deepa</x:v>
      </x:c>
      <x:c r="J8" s="58" t="str">
        <x:v>Discovery</x:v>
      </x:c>
      <x:c r="K8" s="79" t="n">
        <x:v>35000</x:v>
      </x:c>
      <x:c r="L8" s="58" t="n">
        <x:v>32</x:v>
      </x:c>
      <x:c r="M8" s="83" t="n">
        <x:v>46325</x:v>
      </x:c>
      <x:c r="N8" s="83"/>
      <x:c r="O8" s="58" t="str">
        <x:v>Stale and no next activity</x:v>
      </x:c>
      <x:c r="P8" s="58" t="str">
        <x:v>Requalify or remove</x:v>
      </x:c>
    </x:row>
    <x:row r="9" ht="15" hidden="0" customHeight="1">
      <x:c r="A9" s="58" t="str">
        <x:v>H03</x:v>
      </x:c>
      <x:c r="B9" s="58" t="str">
        <x:v>Missing close date</x:v>
      </x:c>
      <x:c r="C9" s="58" t="n">
        <x:f>SUM('RAW DEALS'!$X$7:$X$29)</x:f>
        <x:v>1</x:v>
      </x:c>
      <x:c r="D9" s="58" t="str">
        <x:v>Open deal has no close date</x:v>
      </x:c>
      <x:c r="E9" s="58" t="str">
        <x:v>Add the next credible decision date</x:v>
      </x:c>
      <x:c r="F9" s="58"/>
      <x:c r="G9" s="58" t="str">
        <x:v>D-1010</x:v>
      </x:c>
      <x:c r="H9" s="58" t="str">
        <x:v>Juniper Cloud</x:v>
      </x:c>
      <x:c r="I9" s="58" t="str">
        <x:v>Eli</x:v>
      </x:c>
      <x:c r="J9" s="58" t="str">
        <x:v>Evaluation</x:v>
      </x:c>
      <x:c r="K9" s="79" t="n">
        <x:v>95000</x:v>
      </x:c>
      <x:c r="L9" s="58" t="n">
        <x:v>27</x:v>
      </x:c>
      <x:c r="M9" s="83" t="n">
        <x:v>46303</x:v>
      </x:c>
      <x:c r="N9" s="83" t="n">
        <x:v>46284</x:v>
      </x:c>
      <x:c r="O9" s="58" t="str">
        <x:v>Stale</x:v>
      </x:c>
      <x:c r="P9" s="58" t="str">
        <x:v>Confirm evidence and next step</x:v>
      </x:c>
    </x:row>
    <x:row r="10" ht="15" hidden="0" customHeight="1">
      <x:c r="A10" s="58" t="str">
        <x:v>H04</x:v>
      </x:c>
      <x:c r="B10" s="58" t="str">
        <x:v>Overdue close date</x:v>
      </x:c>
      <x:c r="C10" s="58" t="n">
        <x:f>COUNTIFS('RAW DEALS'!$I$7:$I$29,"&lt;&gt;",'RAW DEALS'!$I$7:$I$29,"&lt;"&amp;'START HERE'!$B$10,'RAW DEALS'!$E$7:$E$29,"&lt;&gt;Closed Won",'RAW DEALS'!$E$7:$E$29,"&lt;&gt;Closed Lost")</x:f>
        <x:v>0</x:v>
      </x:c>
      <x:c r="D10" s="58" t="str">
        <x:v>Close date is before cutoff</x:v>
      </x:c>
      <x:c r="E10" s="58" t="str">
        <x:v>Close, reschedule, or document exception</x:v>
      </x:c>
      <x:c r="F10" s="58"/>
      <x:c r="G10" s="58" t="str">
        <x:v>D-1013</x:v>
      </x:c>
      <x:c r="H10" s="58" t="str">
        <x:v>Mosaic Pilot</x:v>
      </x:c>
      <x:c r="I10" s="58" t="str"/>
      <x:c r="J10" s="58" t="str">
        <x:v>Discovery</x:v>
      </x:c>
      <x:c r="K10" s="79" t="n">
        <x:v>30000</x:v>
      </x:c>
      <x:c r="L10" s="58" t="n">
        <x:v>23</x:v>
      </x:c>
      <x:c r="M10" s="83" t="n">
        <x:v>46341</x:v>
      </x:c>
      <x:c r="N10" s="83" t="n">
        <x:v>46289</x:v>
      </x:c>
      <x:c r="O10" s="58" t="str">
        <x:v>Missing owner and stale</x:v>
      </x:c>
      <x:c r="P10" s="58" t="str">
        <x:v>Assign owner</x:v>
      </x:c>
    </x:row>
    <x:row r="11" ht="15" hidden="0" customHeight="1">
      <x:c r="A11" s="58" t="str">
        <x:v>H05</x:v>
      </x:c>
      <x:c r="B11" s="58" t="str">
        <x:v>No recent activity</x:v>
      </x:c>
      <x:c r="C11" s="58" t="n">
        <x:f>COUNTIFS('RAW DEALS'!$T$7:$T$29,"&gt;"&amp;'START HERE'!$B$16,'RAW DEALS'!$E$7:$E$29,"&lt;&gt;Closed Won",'RAW DEALS'!$E$7:$E$29,"&lt;&gt;Closed Lost")</x:f>
        <x:v>5</x:v>
      </x:c>
      <x:c r="D11" s="58" t="str">
        <x:v>Days since activity exceed threshold</x:v>
      </x:c>
      <x:c r="E11" s="58" t="str">
        <x:v>Record next action or remove from active pipeline</x:v>
      </x:c>
      <x:c r="F11" s="58"/>
      <x:c r="G11" s="58" t="str">
        <x:v>D-1021</x:v>
      </x:c>
      <x:c r="H11" s="58" t="str">
        <x:v>Union Discovery</x:v>
      </x:c>
      <x:c r="I11" s="58" t="str">
        <x:v>Eli</x:v>
      </x:c>
      <x:c r="J11" s="58" t="str">
        <x:v>Discovery</x:v>
      </x:c>
      <x:c r="K11" s="79" t="n">
        <x:v>0</x:v>
      </x:c>
      <x:c r="L11" s="58" t="n">
        <x:v>11</x:v>
      </x:c>
      <x:c r="M11" s="83" t="n">
        <x:v>46346</x:v>
      </x:c>
      <x:c r="N11" s="83" t="n">
        <x:v>46288</x:v>
      </x:c>
      <x:c r="O11" s="58" t="str">
        <x:v>Missing amount</x:v>
      </x:c>
      <x:c r="P11" s="58" t="str">
        <x:v>Confirm value</x:v>
      </x:c>
    </x:row>
    <x:row r="12" ht="15" hidden="0" customHeight="1">
      <x:c r="A12" s="58" t="str">
        <x:v>H06</x:v>
      </x:c>
      <x:c r="B12" s="58" t="str">
        <x:v>No next activity</x:v>
      </x:c>
      <x:c r="C12" s="58" t="n">
        <x:f>SUM('RAW DEALS'!$Y$7:$Y$29)</x:f>
        <x:v>1</x:v>
      </x:c>
      <x:c r="D12" s="58" t="str">
        <x:v>Open deal has no scheduled next activity</x:v>
      </x:c>
      <x:c r="E12" s="58" t="str">
        <x:v>Add a dated next step</x:v>
      </x:c>
      <x:c r="F12" s="58"/>
      <x:c r="G12" s="58" t="str">
        <x:v>D-1008</x:v>
      </x:c>
      <x:c r="H12" s="58" t="str">
        <x:v>Harbor Suite</x:v>
      </x:c>
      <x:c r="I12" s="58" t="str">
        <x:v>Chen</x:v>
      </x:c>
      <x:c r="J12" s="58" t="str">
        <x:v>Discovery</x:v>
      </x:c>
      <x:c r="K12" s="79" t="n">
        <x:v>55000</x:v>
      </x:c>
      <x:c r="L12" s="58" t="n">
        <x:v>13</x:v>
      </x:c>
      <x:c r="M12" s="83" t="n">
        <x:v>46310</x:v>
      </x:c>
      <x:c r="N12" s="83" t="n">
        <x:v>46285</x:v>
      </x:c>
      <x:c r="O12" s="58" t="str">
        <x:v>Stage regression</x:v>
      </x:c>
      <x:c r="P12" s="58" t="str">
        <x:v>Explain recovery action</x:v>
      </x:c>
    </x:row>
    <x:row r="13" ht="15" hidden="0" customHeight="1">
      <x:c r="A13" s="58" t="str">
        <x:v>H07</x:v>
      </x:c>
      <x:c r="B13" s="58" t="str">
        <x:v>Excessive age</x:v>
      </x:c>
      <x:c r="C13" s="58" t="n">
        <x:f>COUNTIFS('RAW DEALS'!$S$7:$S$29,"&gt;120",'RAW DEALS'!$E$7:$E$29,"&lt;&gt;Closed Won",'RAW DEALS'!$E$7:$E$29,"&lt;&gt;Closed Lost")</x:f>
        <x:v>5</x:v>
      </x:c>
      <x:c r="D13" s="58" t="str">
        <x:v>Days open exceed 120</x:v>
      </x:c>
      <x:c r="E13" s="58" t="str">
        <x:v>Requalify or close the deal</x:v>
      </x:c>
      <x:c r="F13" s="58"/>
      <x:c r="G13" s="58"/>
      <x:c r="H13" s="58"/>
      <x:c r="I13" s="58"/>
      <x:c r="J13" s="58"/>
      <x:c r="K13" s="58"/>
      <x:c r="L13" s="58"/>
      <x:c r="M13" s="58"/>
      <x:c r="N13" s="58"/>
      <x:c r="O13" s="58"/>
      <x:c r="P13" s="58"/>
    </x:row>
    <x:row r="14" ht="15" hidden="0" customHeight="1">
      <x:c r="A14" s="58" t="str">
        <x:v>H08</x:v>
      </x:c>
      <x:c r="B14" s="58" t="str">
        <x:v>Stage-age breach</x:v>
      </x:c>
      <x:c r="C14" s="58" t="str">
        <x:f>"Not testable"</x:f>
        <x:v>Not testable</x:v>
      </x:c>
      <x:c r="D14" s="58" t="str">
        <x:v>Stage-entry date absent from this export</x:v>
      </x:c>
      <x:c r="E14" s="58" t="str">
        <x:v>Add stage history before testing</x:v>
      </x:c>
      <x:c r="F14" s="58"/>
      <x:c r="G14" s="58"/>
      <x:c r="H14" s="58"/>
      <x:c r="I14" s="58"/>
      <x:c r="J14" s="58"/>
      <x:c r="K14" s="58"/>
      <x:c r="L14" s="58"/>
      <x:c r="M14" s="58"/>
      <x:c r="N14" s="58"/>
      <x:c r="O14" s="58"/>
      <x:c r="P14" s="58"/>
    </x:row>
    <x:row r="15" ht="15" hidden="0" customHeight="1">
      <x:c r="A15" s="58" t="str">
        <x:v>H09</x:v>
      </x:c>
      <x:c r="B15" s="58" t="str">
        <x:v>Regressed stage</x:v>
      </x:c>
      <x:c r="C15" s="58" t="n">
        <x:f>COUNTIFS('PIPELINE BRIDGE'!$J$7:$J$30,"Regressed")</x:f>
        <x:v>1</x:v>
      </x:c>
      <x:c r="D15" s="58" t="str">
        <x:v>Bridge class equals Regressed</x:v>
      </x:c>
      <x:c r="E15" s="58" t="str">
        <x:v>Explain cause and recovery action</x:v>
      </x:c>
      <x:c r="F15" s="58"/>
      <x:c r="G15" s="58"/>
      <x:c r="H15" s="58"/>
      <x:c r="I15" s="58"/>
      <x:c r="J15" s="58"/>
      <x:c r="K15" s="58"/>
      <x:c r="L15" s="58"/>
      <x:c r="M15" s="58"/>
      <x:c r="N15" s="58"/>
      <x:c r="O15" s="58"/>
      <x:c r="P15" s="58"/>
    </x:row>
    <x:row r="16" ht="15" hidden="0" customHeight="1">
      <x:c r="A16" s="58" t="str">
        <x:v>H10</x:v>
      </x:c>
      <x:c r="B16" s="58" t="str">
        <x:v>Close-date slip</x:v>
      </x:c>
      <x:c r="C16" s="58" t="n">
        <x:f>COUNTIFS('PIPELINE BRIDGE'!$K$7:$K$30,"&gt;"&amp;'START HERE'!$B$17)</x:f>
        <x:v>4</x:v>
      </x:c>
      <x:c r="D16" s="58" t="str">
        <x:v>Slip exceeds configured tolerance</x:v>
      </x:c>
      <x:c r="E16" s="58" t="str">
        <x:v>Record reason and forecast impact</x:v>
      </x:c>
      <x:c r="F16" s="58"/>
      <x:c r="G16" s="58"/>
      <x:c r="H16" s="58"/>
      <x:c r="I16" s="58"/>
      <x:c r="J16" s="58"/>
      <x:c r="K16" s="58"/>
      <x:c r="L16" s="58"/>
      <x:c r="M16" s="58"/>
      <x:c r="N16" s="58"/>
      <x:c r="O16" s="58"/>
      <x:c r="P16" s="58"/>
    </x:row>
    <x:row r="17" ht="15" hidden="0" customHeight="1">
      <x:c r="A17" s="58" t="str">
        <x:v>H11</x:v>
      </x:c>
      <x:c r="B17" s="58" t="str">
        <x:v>Forecast mismatch</x:v>
      </x:c>
      <x:c r="C17" s="58" t="n">
        <x:f>COUNTIFS('RAW DEALS'!$L$7:$L$29,"Commit",'RAW DEALS'!$E$7:$E$29,"&lt;&gt;Negotiation",'RAW DEALS'!$E$7:$E$29,"&lt;&gt;Closed Won",'RAW DEALS'!$E$7:$E$29,"&lt;&gt;Closed Lost")</x:f>
        <x:v>0</x:v>
      </x:c>
      <x:c r="D17" s="58" t="str">
        <x:v>Commit is not Negotiation</x:v>
      </x:c>
      <x:c r="E17" s="58" t="str">
        <x:v>Correct category or document exception</x:v>
      </x:c>
      <x:c r="F17" s="58"/>
      <x:c r="G17" s="58"/>
      <x:c r="H17" s="58"/>
      <x:c r="I17" s="58"/>
      <x:c r="J17" s="58"/>
      <x:c r="K17" s="58"/>
      <x:c r="L17" s="58"/>
      <x:c r="M17" s="58"/>
      <x:c r="N17" s="58"/>
      <x:c r="O17" s="58"/>
      <x:c r="P17" s="58"/>
    </x:row>
    <x:row r="18" ht="15" hidden="0" customHeight="1">
      <x:c r="A18" s="58" t="str">
        <x:v>H12</x:v>
      </x:c>
      <x:c r="B18" s="58" t="str">
        <x:v>Low target coverage</x:v>
      </x:c>
      <x:c r="C18" s="58" t="n">
        <x:f>IF('REVENUE VS TARGET'!B11=0,"n.a.",IF('REVENUE VS TARGET'!B13/'REVENUE VS TARGET'!B11&lt;'START HERE'!$B$18,1,0))</x:f>
        <x:v>1</x:v>
      </x:c>
      <x:c r="D18" s="58" t="str">
        <x:v>Coverage is below configured minimum</x:v>
      </x:c>
      <x:c r="E18" s="58" t="str">
        <x:v>Create coverage plan with owner and deadline</x:v>
      </x:c>
      <x:c r="F18" s="58"/>
      <x:c r="G18" s="58"/>
      <x:c r="H18" s="58"/>
      <x:c r="I18" s="58"/>
      <x:c r="J18" s="58"/>
      <x:c r="K18" s="58"/>
      <x:c r="L18" s="58"/>
      <x:c r="M18" s="58"/>
      <x:c r="N18" s="58"/>
      <x:c r="O18" s="58"/>
      <x:c r="P18" s="58"/>
    </x:row>
  </x:sheetData>
  <x:mergeCells>
    <x:mergeCell ref="A2:P2"/>
    <x:mergeCell ref="A3:P3"/>
    <x:mergeCell ref="G6:P6"/>
  </x:mergeCells>
  <x:conditionalFormatting sqref="C7:C18">
    <x:cfRule type="cellIs" dxfId="3" priority="1" operator="greater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28" hidden="0" customWidth="1"/>
    <x:col min="7" max="7" width="18" hidden="0" customWidth="1"/>
    <x:col min="8" max="8" width="46" hidden="0" customWidth="1"/>
    <x:col min="9" max="9" width="3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2" ht="18" hidden="0" customHeight="1">
      <x:c r="A2" s="57" t="str">
        <x:v>Board export</x:v>
      </x:c>
      <x:c r="B2" s="58"/>
      <x:c r="C2" s="58"/>
      <x:c r="D2" s="58"/>
      <x:c r="E2" s="58"/>
      <x:c r="F2" s="58"/>
      <x:c r="G2" s="58"/>
      <x:c r="H2" s="58"/>
      <x:c r="I2" s="58"/>
      <x:c r="J2" s="58"/>
      <x:c r="K2" s="58"/>
      <x:c r="L2" s="58"/>
      <x:c r="M2" s="58"/>
      <x:c r="N2" s="58"/>
      <x:c r="O2" s="58"/>
      <x:c r="P2" s="58"/>
    </x:row>
    <x:row r="3" ht="15" hidden="0" customHeight="1">
      <x:c r="A3" s="59" t="str">
        <x:v>Editable tables and charts for the seven-slide management deck.</x:v>
      </x:c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  <x:c r="J4" s="60"/>
      <x:c r="K4" s="60"/>
      <x:c r="L4" s="60"/>
      <x:c r="M4" s="60"/>
      <x:c r="N4" s="60"/>
      <x:c r="O4" s="60"/>
      <x:c r="P4" s="60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  <x:c r="J5" s="58"/>
      <x:c r="K5" s="58"/>
      <x:c r="L5" s="58"/>
      <x:c r="M5" s="58"/>
      <x:c r="N5" s="58"/>
      <x:c r="O5" s="58"/>
      <x:c r="P5" s="58"/>
    </x:row>
    <x:row r="6" ht="15" hidden="0" customHeight="1">
      <x:c r="A6" s="66" t="str">
        <x:v>Metric</x:v>
      </x:c>
      <x:c r="B6" s="67" t="str">
        <x:v>Actual</x:v>
      </x:c>
      <x:c r="C6" s="67" t="str">
        <x:v>Target</x:v>
      </x:c>
      <x:c r="D6" s="68" t="str">
        <x:v>Gap</x:v>
      </x:c>
      <x:c r="E6" s="58"/>
      <x:c r="F6" s="66" t="str">
        <x:v>Pipeline component</x:v>
      </x:c>
      <x:c r="G6" s="67" t="str">
        <x:v>Amount</x:v>
      </x:c>
      <x:c r="H6" s="68" t="str">
        <x:v>Explanation</x:v>
      </x:c>
      <x:c r="I6" s="58"/>
      <x:c r="J6" s="58"/>
      <x:c r="K6" s="58"/>
      <x:c r="L6" s="58"/>
      <x:c r="M6" s="58"/>
      <x:c r="N6" s="58"/>
      <x:c r="O6" s="58"/>
      <x:c r="P6" s="58"/>
    </x:row>
    <x:row r="7" ht="15" hidden="0" customHeight="1">
      <x:c r="A7" s="58" t="str">
        <x:v>Closed bookings</x:v>
      </x:c>
      <x:c r="B7" s="79" t="n">
        <x:f>'REVENUE VS TARGET'!B9</x:f>
        <x:v>720000</x:v>
      </x:c>
      <x:c r="C7" s="79" t="n">
        <x:f>'REVENUE VS TARGET'!B8</x:f>
        <x:v>1200000</x:v>
      </x:c>
      <x:c r="D7" s="79" t="n">
        <x:f>C7-B7</x:f>
        <x:v>480000</x:v>
      </x:c>
      <x:c r="E7" s="58"/>
      <x:c r="F7" s="58" t="str">
        <x:v>Opening open pipeline</x:v>
      </x:c>
      <x:c r="G7" s="79" t="n">
        <x:f>'PIPELINE BRIDGE'!P7</x:f>
        <x:v>1510000</x:v>
      </x:c>
      <x:c r="H7" s="58" t="str">
        <x:v>Prior fixed cutoff</x:v>
      </x:c>
      <x:c r="I7" s="58"/>
      <x:c r="J7" s="58"/>
      <x:c r="K7" s="58"/>
      <x:c r="L7" s="58"/>
      <x:c r="M7" s="58"/>
      <x:c r="N7" s="58"/>
      <x:c r="O7" s="58"/>
      <x:c r="P7" s="58"/>
    </x:row>
    <x:row r="8" ht="15" hidden="0" customHeight="1">
      <x:c r="A8" s="58" t="str">
        <x:v>Forecast</x:v>
      </x:c>
      <x:c r="B8" s="79" t="n">
        <x:f>'REVENUE VS TARGET'!B15</x:f>
        <x:v>1365000</x:v>
      </x:c>
      <x:c r="C8" s="79" t="n">
        <x:f>'REVENUE VS TARGET'!B8</x:f>
        <x:v>1200000</x:v>
      </x:c>
      <x:c r="D8" s="79" t="n">
        <x:f>C8-B8</x:f>
        <x:v>-165000</x:v>
      </x:c>
      <x:c r="E8" s="58"/>
      <x:c r="F8" s="58" t="str">
        <x:v>Net reconciled change</x:v>
      </x:c>
      <x:c r="G8" s="79" t="n">
        <x:f>'PIPELINE BRIDGE'!P8</x:f>
        <x:v>-155000</x:v>
      </x:c>
      <x:c r="H8" s="58" t="str">
        <x:v>Created, reopened, won, lost, removed, value changes</x:v>
      </x:c>
      <x:c r="I8" s="58"/>
      <x:c r="J8" s="58"/>
      <x:c r="K8" s="58"/>
      <x:c r="L8" s="58"/>
      <x:c r="M8" s="58"/>
      <x:c r="N8" s="58"/>
      <x:c r="O8" s="58"/>
      <x:c r="P8" s="58"/>
    </x:row>
    <x:row r="9" ht="15" hidden="0" customHeight="1">
      <x:c r="A9" s="58" t="str">
        <x:v>Open pipeline</x:v>
      </x:c>
      <x:c r="B9" s="79" t="n">
        <x:f>'REVENUE VS TARGET'!B13</x:f>
        <x:v>1355000</x:v>
      </x:c>
      <x:c r="C9" s="79" t="n">
        <x:f>'REVENUE VS TARGET'!B11*'START HERE'!B18</x:f>
        <x:v>1440000</x:v>
      </x:c>
      <x:c r="D9" s="79" t="n">
        <x:f>B9-C9</x:f>
        <x:v>-85000</x:v>
      </x:c>
      <x:c r="E9" s="58"/>
      <x:c r="F9" s="58" t="str">
        <x:v>Closing open pipeline</x:v>
      </x:c>
      <x:c r="G9" s="79" t="n">
        <x:f>'PIPELINE BRIDGE'!P10</x:f>
        <x:v>1355000</x:v>
      </x:c>
      <x:c r="H9" s="58" t="str">
        <x:v>Current fixed cutoff</x:v>
      </x:c>
      <x:c r="I9" s="58"/>
      <x:c r="J9" s="58"/>
      <x:c r="K9" s="58"/>
      <x:c r="L9" s="58"/>
      <x:c r="M9" s="58"/>
      <x:c r="N9" s="58"/>
      <x:c r="O9" s="58"/>
      <x:c r="P9" s="58"/>
    </x:row>
    <x:row r="10" ht="15" hidden="0" customHeight="1">
      <x:c r="A10" s="58" t="str">
        <x:v>Weighted pipeline</x:v>
      </x:c>
      <x:c r="B10" s="79" t="n">
        <x:f>'REVENUE VS TARGET'!B14</x:f>
        <x:v>666700</x:v>
      </x:c>
      <x:c r="C10" s="79"/>
      <x:c r="D10" s="79"/>
      <x:c r="E10" s="58"/>
      <x:c r="F10" s="58" t="str">
        <x:v>Stale open deals</x:v>
      </x:c>
      <x:c r="G10" s="58" t="n">
        <x:f>'WEEKLY SALES'!B11</x:f>
        <x:v>5</x:v>
      </x:c>
      <x:c r="H10" s="58" t="str">
        <x:v>Count above configured threshold</x:v>
      </x:c>
      <x:c r="I10" s="58"/>
      <x:c r="J10" s="58"/>
      <x:c r="K10" s="58"/>
      <x:c r="L10" s="58"/>
      <x:c r="M10" s="58"/>
      <x:c r="N10" s="58"/>
      <x:c r="O10" s="58"/>
      <x:c r="P10" s="58"/>
    </x:row>
    <x:row r="11" ht="15" hidden="0" customHeight="1">
      <x:c r="A11" s="58" t="str">
        <x:v>Coverage ratio</x:v>
      </x:c>
      <x:c r="B11" s="86" t="n">
        <x:f>IF('REVENUE VS TARGET'!B11=0,"n.a.",'REVENUE VS TARGET'!B13/'REVENUE VS TARGET'!B11)</x:f>
        <x:v>2.8229166666666665</x:v>
      </x:c>
      <x:c r="C11" s="86" t="n">
        <x:f>'START HERE'!B18</x:f>
        <x:v>3</x:v>
      </x:c>
      <x:c r="D11" s="86" t="n">
        <x:f>B11-C11</x:f>
        <x:v>-0.17708333333333348</x:v>
      </x:c>
      <x:c r="E11" s="58"/>
      <x:c r="F11" s="58" t="str">
        <x:v>Overdue close dates</x:v>
      </x:c>
      <x:c r="G11" s="58" t="n">
        <x:f>'WEEKLY SALES'!B12</x:f>
        <x:v>1</x:v>
      </x:c>
      <x:c r="H11" s="58" t="str">
        <x:v>Open deals before cutoff</x:v>
      </x:c>
      <x:c r="I11" s="58"/>
      <x:c r="J11" s="58"/>
      <x:c r="K11" s="58"/>
      <x:c r="L11" s="58"/>
      <x:c r="M11" s="58"/>
      <x:c r="N11" s="58"/>
      <x:c r="O11" s="58"/>
      <x:c r="P11" s="58"/>
    </x:row>
    <x:row r="12" ht="15" hidden="0" customHeight="1">
      <x:c r="A12" s="58"/>
      <x:c r="B12" s="58"/>
      <x:c r="C12" s="58"/>
      <x:c r="D12" s="58"/>
      <x:c r="E12" s="58"/>
      <x:c r="F12" s="58" t="str">
        <x:v>Data exceptions</x:v>
      </x:c>
      <x:c r="G12" s="58" t="n">
        <x:f>'WEEKLY SALES'!B13</x:f>
        <x:v>3</x:v>
      </x:c>
      <x:c r="H12" s="58" t="str">
        <x:v>Required fields or mapping</x:v>
      </x:c>
      <x:c r="I12" s="58"/>
      <x:c r="J12" s="58"/>
      <x:c r="K12" s="58"/>
      <x:c r="L12" s="58"/>
      <x:c r="M12" s="58"/>
      <x:c r="N12" s="58"/>
      <x:c r="O12" s="58"/>
      <x:c r="P12" s="58"/>
    </x:row>
    <x:row r="13" ht="15" hidden="0" customHeight="1">
      <x:c r="A13" s="58"/>
      <x:c r="B13" s="58"/>
      <x:c r="C13" s="58"/>
      <x:c r="D13" s="58"/>
      <x:c r="E13" s="58"/>
      <x:c r="F13" s="58"/>
      <x:c r="G13" s="58"/>
      <x:c r="H13" s="58"/>
      <x:c r="I13" s="58"/>
      <x:c r="J13" s="58"/>
      <x:c r="K13" s="58"/>
      <x:c r="L13" s="58"/>
      <x:c r="M13" s="58"/>
      <x:c r="N13" s="58"/>
      <x:c r="O13" s="58"/>
      <x:c r="P13" s="58"/>
    </x:row>
    <x:row r="14" ht="15" hidden="0" customHeight="1">
      <x:c r="A14" s="61" t="str">
        <x:v>Decisions and actions</x:v>
      </x:c>
      <x:c r="B14" s="62"/>
      <x:c r="C14" s="62"/>
      <x:c r="D14" s="62"/>
      <x:c r="E14" s="62"/>
      <x:c r="F14" s="62"/>
      <x:c r="G14" s="62"/>
      <x:c r="H14" s="63"/>
      <x:c r="I14" s="58"/>
      <x:c r="J14" s="58"/>
      <x:c r="K14" s="58"/>
      <x:c r="L14" s="58"/>
      <x:c r="M14" s="58"/>
      <x:c r="N14" s="58"/>
      <x:c r="O14" s="58"/>
      <x:c r="P14" s="58"/>
    </x:row>
    <x:row r="15" ht="15" hidden="0" customHeight="1">
      <x:c r="A15" s="66" t="str">
        <x:v>Decision</x:v>
      </x:c>
      <x:c r="B15" s="67" t="str">
        <x:v>Owner</x:v>
      </x:c>
      <x:c r="C15" s="67" t="str">
        <x:v>Due date</x:v>
      </x:c>
      <x:c r="D15" s="67" t="str">
        <x:v>Evidence</x:v>
      </x:c>
      <x:c r="E15" s="67" t="str">
        <x:v>Status</x:v>
      </x:c>
      <x:c r="F15" s="67" t="str">
        <x:v>Impact</x:v>
      </x:c>
      <x:c r="G15" s="67" t="str">
        <x:v>Next review</x:v>
      </x:c>
      <x:c r="H15" s="68" t="str">
        <x:v>Notes</x:v>
      </x:c>
      <x:c r="I15" s="58"/>
      <x:c r="J15" s="58"/>
      <x:c r="K15" s="58"/>
      <x:c r="L15" s="58"/>
      <x:c r="M15" s="58"/>
      <x:c r="N15" s="58"/>
      <x:c r="O15" s="58"/>
      <x:c r="P15" s="58"/>
    </x:row>
    <x:row r="16" ht="15" hidden="0" customHeight="1">
      <x:c r="A16" s="65" t="str">
        <x:v>Validate slipped commit deals</x:v>
      </x:c>
      <x:c r="B16" s="65" t="str">
        <x:v>Sales Director</x:v>
      </x:c>
      <x:c r="C16" s="69" t="n">
        <x:v>46289</x:v>
      </x:c>
      <x:c r="D16" s="65" t="str">
        <x:v>Mutual action plans</x:v>
      </x:c>
      <x:c r="E16" s="65" t="str">
        <x:v>Open</x:v>
      </x:c>
      <x:c r="F16" s="65" t="str">
        <x:v>Forecast</x:v>
      </x:c>
      <x:c r="G16" s="69" t="n">
        <x:v>46293</x:v>
      </x:c>
      <x:c r="H16" s="65" t="str"/>
      <x:c r="I16" s="58"/>
      <x:c r="J16" s="58"/>
      <x:c r="K16" s="58"/>
      <x:c r="L16" s="58"/>
      <x:c r="M16" s="58"/>
      <x:c r="N16" s="58"/>
      <x:c r="O16" s="58"/>
      <x:c r="P16" s="58"/>
    </x:row>
    <x:row r="17" ht="15" hidden="0" customHeight="1">
      <x:c r="A17" s="65" t="str">
        <x:v>Requalify stale opportunities</x:v>
      </x:c>
      <x:c r="B17" s="65" t="str">
        <x:v>Sales Managers</x:v>
      </x:c>
      <x:c r="C17" s="69" t="n">
        <x:v>46290</x:v>
      </x:c>
      <x:c r="D17" s="65" t="str">
        <x:v>Deal notes and next activities</x:v>
      </x:c>
      <x:c r="E17" s="65" t="str">
        <x:v>Open</x:v>
      </x:c>
      <x:c r="F17" s="65" t="str">
        <x:v>Pipeline</x:v>
      </x:c>
      <x:c r="G17" s="69" t="n">
        <x:v>46293</x:v>
      </x:c>
      <x:c r="H17" s="65" t="str"/>
      <x:c r="I17" s="58"/>
      <x:c r="J17" s="58"/>
      <x:c r="K17" s="58"/>
      <x:c r="L17" s="58"/>
      <x:c r="M17" s="58"/>
      <x:c r="N17" s="58"/>
      <x:c r="O17" s="58"/>
      <x:c r="P17" s="58"/>
    </x:row>
    <x:row r="18" ht="15" hidden="0" customHeight="1">
      <x:c r="A18" s="65" t="str">
        <x:v>Resolve missing deal fields</x:v>
      </x:c>
      <x:c r="B18" s="65" t="str">
        <x:v>RevOps</x:v>
      </x:c>
      <x:c r="C18" s="69" t="n">
        <x:v>46288</x:v>
      </x:c>
      <x:c r="D18" s="65" t="str">
        <x:v>Updated export</x:v>
      </x:c>
      <x:c r="E18" s="65" t="str">
        <x:v>Open</x:v>
      </x:c>
      <x:c r="F18" s="65" t="str">
        <x:v>Data quality</x:v>
      </x:c>
      <x:c r="G18" s="69" t="n">
        <x:v>46289</x:v>
      </x:c>
      <x:c r="H18" s="65" t="str"/>
      <x:c r="I18" s="58"/>
      <x:c r="J18" s="58"/>
      <x:c r="K18" s="58"/>
      <x:c r="L18" s="58"/>
      <x:c r="M18" s="58"/>
      <x:c r="N18" s="58"/>
      <x:c r="O18" s="58"/>
      <x:c r="P18" s="58"/>
    </x:row>
    <x:row r="19" ht="15" hidden="0" customHeight="1">
      <x:c r="A19" s="65" t="str"/>
      <x:c r="B19" s="65" t="str"/>
      <x:c r="C19" s="69"/>
      <x:c r="D19" s="65" t="str"/>
      <x:c r="E19" s="65" t="str">
        <x:v>Open</x:v>
      </x:c>
      <x:c r="F19" s="65" t="str"/>
      <x:c r="G19" s="69"/>
      <x:c r="H19" s="65" t="str"/>
      <x:c r="I19" s="58"/>
      <x:c r="J19" s="58"/>
      <x:c r="K19" s="58"/>
      <x:c r="L19" s="58"/>
      <x:c r="M19" s="58"/>
      <x:c r="N19" s="58"/>
      <x:c r="O19" s="58"/>
      <x:c r="P19" s="58"/>
    </x:row>
    <x:row r="20" ht="15" hidden="0" customHeight="1">
      <x:c r="A20" s="65" t="str"/>
      <x:c r="B20" s="65" t="str"/>
      <x:c r="C20" s="69"/>
      <x:c r="D20" s="65" t="str"/>
      <x:c r="E20" s="65" t="str">
        <x:v>Open</x:v>
      </x:c>
      <x:c r="F20" s="65" t="str"/>
      <x:c r="G20" s="69"/>
      <x:c r="H20" s="65" t="str"/>
      <x:c r="I20" s="58"/>
      <x:c r="J20" s="58"/>
      <x:c r="K20" s="58"/>
      <x:c r="L20" s="58"/>
      <x:c r="M20" s="58"/>
      <x:c r="N20" s="58"/>
      <x:c r="O20" s="58"/>
      <x:c r="P20" s="58"/>
    </x:row>
  </x:sheetData>
  <x:mergeCells>
    <x:mergeCell ref="A2:P2"/>
    <x:mergeCell ref="A3:P3"/>
    <x:mergeCell ref="A14:H14"/>
  </x:mergeCells>
  <x:pageMargins left="0.7" right="0.7" top="0.75" bottom="0.75" header="0.3" footer="0.3"/>
  <x:drawing xmlns:r="http://schemas.openxmlformats.org/officeDocument/2006/relationships" r:id="R343481c13b034db0"/>
</x:worksheet>
</file>

<file path=xl/worksheets/sheet7.xml><?xml version="1.0" encoding="utf-8"?>
<x:worksheet xmlns:x="http://schemas.openxmlformats.org/spreadsheetml/2006/main">
  <x:sheetPr>
    <x:tabColor rgb="FFDCEAF8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24" hidden="0" customWidth="1"/>
    <x:col min="3" max="3" width="20" hidden="0" customWidth="1"/>
    <x:col min="4" max="4" width="17" hidden="0" customWidth="1"/>
    <x:col min="5" max="5" width="17" hidden="0" customWidth="1"/>
    <x:col min="6" max="6" width="13" hidden="0" customWidth="1"/>
    <x:col min="7" max="7" width="14" hidden="0" customWidth="1"/>
    <x:col min="8" max="8" width="13" hidden="0" customWidth="1"/>
    <x:col min="9" max="9" width="13" hidden="0" customWidth="1"/>
    <x:col min="10" max="10" width="16" hidden="0" customWidth="1"/>
    <x:col min="11" max="11" width="16" hidden="0" customWidth="1"/>
    <x:col min="12" max="12" width="17" hidden="0" customWidth="1"/>
    <x:col min="13" max="13" width="13" hidden="0" customWidth="1"/>
    <x:col min="14" max="14" width="12" hidden="0" customWidth="1"/>
    <x:col min="15" max="15" width="12" hidden="0" customWidth="1"/>
    <x:col min="16" max="16" width="13" hidden="0" customWidth="1"/>
    <x:col min="17" max="17" width="17" hidden="0" customWidth="1"/>
    <x:col min="18" max="18" width="16" hidden="0" customWidth="1"/>
    <x:col min="19" max="19" width="12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</x:cols>
  <x:sheetData>
    <x:row r="2" ht="18" hidden="0" customHeight="1">
      <x:c r="A2" s="57" t="str">
        <x:v>Current deal export</x:v>
      </x:c>
      <x:c r="B2" s="58"/>
      <x:c r="C2" s="58"/>
      <x:c r="D2" s="58"/>
      <x:c r="E2" s="58"/>
      <x:c r="F2" s="58"/>
      <x:c r="G2" s="58"/>
      <x:c r="H2" s="58"/>
      <x:c r="I2" s="58"/>
      <x:c r="J2" s="58"/>
      <x:c r="K2" s="58"/>
      <x:c r="L2" s="58"/>
      <x:c r="M2" s="58"/>
      <x:c r="N2" s="58"/>
      <x:c r="O2" s="58"/>
      <x:c r="P2" s="58"/>
      <x:c r="Q2" s="58"/>
      <x:c r="R2" s="58"/>
      <x:c r="S2" s="58"/>
      <x:c r="T2" s="58"/>
      <x:c r="U2" s="58"/>
      <x:c r="V2" s="58"/>
      <x:c r="W2" s="58"/>
      <x:c r="X2" s="58"/>
      <x:c r="Y2" s="58"/>
    </x:row>
    <x:row r="3" ht="15" hidden="0" customHeight="1">
      <x:c r="A3" s="59" t="str">
        <x:v>Paste one row per deal. Blue helper columns are formulas and should be extended for new rows.</x:v>
      </x:c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  <x:c r="R3" s="58"/>
      <x:c r="S3" s="58"/>
      <x:c r="T3" s="58"/>
      <x:c r="U3" s="58"/>
      <x:c r="V3" s="58"/>
      <x:c r="W3" s="58"/>
      <x:c r="X3" s="58"/>
      <x:c r="Y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  <x:c r="J4" s="60"/>
      <x:c r="K4" s="60"/>
      <x:c r="L4" s="60"/>
      <x:c r="M4" s="60"/>
      <x:c r="N4" s="60"/>
      <x:c r="O4" s="60"/>
      <x:c r="P4" s="60"/>
      <x:c r="Q4" s="60"/>
      <x:c r="R4" s="60"/>
      <x:c r="S4" s="60"/>
      <x:c r="T4" s="60"/>
      <x:c r="U4" s="60"/>
      <x:c r="V4" s="58"/>
      <x:c r="W4" s="58"/>
      <x:c r="X4" s="58"/>
      <x:c r="Y4" s="58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  <x:c r="J5" s="58"/>
      <x:c r="K5" s="58"/>
      <x:c r="L5" s="58"/>
      <x:c r="M5" s="58"/>
      <x:c r="N5" s="58"/>
      <x:c r="O5" s="58"/>
      <x:c r="P5" s="58"/>
      <x:c r="Q5" s="58"/>
      <x:c r="R5" s="58"/>
      <x:c r="S5" s="58"/>
      <x:c r="T5" s="58"/>
      <x:c r="U5" s="58"/>
      <x:c r="V5" s="58"/>
      <x:c r="W5" s="58"/>
      <x:c r="X5" s="58"/>
      <x:c r="Y5" s="58"/>
    </x:row>
    <x:row r="6" ht="15" hidden="0" customHeight="1">
      <x:c r="A6" s="66" t="str">
        <x:v>deal_id</x:v>
      </x:c>
      <x:c r="B6" s="67" t="str">
        <x:v>deal_name</x:v>
      </x:c>
      <x:c r="C6" s="67" t="str">
        <x:v>company_name</x:v>
      </x:c>
      <x:c r="D6" s="67" t="str">
        <x:v>pipeline_name</x:v>
      </x:c>
      <x:c r="E6" s="67" t="str">
        <x:v>deal_stage</x:v>
      </x:c>
      <x:c r="F6" s="67" t="str">
        <x:v>deal_owner</x:v>
      </x:c>
      <x:c r="G6" s="67" t="str">
        <x:v>amount</x:v>
      </x:c>
      <x:c r="H6" s="67" t="str">
        <x:v>create_date</x:v>
      </x:c>
      <x:c r="I6" s="67" t="str">
        <x:v>close_date</x:v>
      </x:c>
      <x:c r="J6" s="67" t="str">
        <x:v>last_activity_date</x:v>
      </x:c>
      <x:c r="K6" s="67" t="str">
        <x:v>next_activity_date</x:v>
      </x:c>
      <x:c r="L6" s="67" t="str">
        <x:v>forecast_category</x:v>
      </x:c>
      <x:c r="M6" s="67" t="str">
        <x:v>deal_type</x:v>
      </x:c>
      <x:c r="N6" s="67" t="str">
        <x:v>closed_won</x:v>
      </x:c>
      <x:c r="O6" s="67" t="str">
        <x:v>closed_lost</x:v>
      </x:c>
      <x:c r="P6" s="67" t="str">
        <x:v>stage_order</x:v>
      </x:c>
      <x:c r="Q6" s="67" t="str">
        <x:v>stage_probability</x:v>
      </x:c>
      <x:c r="R6" s="67" t="str">
        <x:v>weighted_amount</x:v>
      </x:c>
      <x:c r="S6" s="67" t="str">
        <x:v>days_open</x:v>
      </x:c>
      <x:c r="T6" s="67" t="str">
        <x:v>days_since_activity</x:v>
      </x:c>
      <x:c r="U6" s="67" t="str">
        <x:v>data_quality_flag</x:v>
      </x:c>
      <x:c r="V6" s="67" t="str">
        <x:v>duplicate_id_flag</x:v>
      </x:c>
      <x:c r="W6" s="67" t="str">
        <x:v>missing_owner_open</x:v>
      </x:c>
      <x:c r="X6" s="67" t="str">
        <x:v>missing_close_open</x:v>
      </x:c>
      <x:c r="Y6" s="68" t="str">
        <x:v>missing_next_open</x:v>
      </x:c>
    </x:row>
    <x:row r="7" ht="15" hidden="0" customHeight="1">
      <x:c r="A7" s="65" t="str">
        <x:v>D-1001</x:v>
      </x:c>
      <x:c r="B7" s="65" t="str">
        <x:v>Atlas Annual</x:v>
      </x:c>
      <x:c r="C7" s="65" t="str">
        <x:v>Atlas Labs</x:v>
      </x:c>
      <x:c r="D7" s="65" t="str">
        <x:v>Sales Pipeline</x:v>
      </x:c>
      <x:c r="E7" s="65" t="str">
        <x:v>Closed Won</x:v>
      </x:c>
      <x:c r="F7" s="65" t="str">
        <x:v>Amara</x:v>
      </x:c>
      <x:c r="G7" s="70" t="n">
        <x:v>120000</x:v>
      </x:c>
      <x:c r="H7" s="69" t="n">
        <x:v>46183</x:v>
      </x:c>
      <x:c r="I7" s="69" t="n">
        <x:v>46290</x:v>
      </x:c>
      <x:c r="J7" s="69" t="n">
        <x:v>46277</x:v>
      </x:c>
      <x:c r="K7" s="69" t="n">
        <x:v>46281</x:v>
      </x:c>
      <x:c r="L7" s="65" t="str">
        <x:v>Commit</x:v>
      </x:c>
      <x:c r="M7" s="65" t="str">
        <x:v>New</x:v>
      </x:c>
      <x:c r="N7" s="88" t="b">
        <x:v>1</x:v>
      </x:c>
      <x:c r="O7" s="88" t="b">
        <x:v>0</x:v>
      </x:c>
      <x:c r="P7" s="58" t="n">
        <x:f>IFERROR(INDEX('STAGE MAP'!$B$7:$B$12,MATCH(E7,'STAGE MAP'!$A$7:$A$12,0)),"UNMAPPED")</x:f>
        <x:v>5</x:v>
      </x:c>
      <x:c r="Q7" s="80" t="n">
        <x:f>IFERROR(INDEX('STAGE MAP'!$C$7:$C$12,MATCH(E7,'STAGE MAP'!$A$7:$A$12,0)),0)</x:f>
        <x:v>1</x:v>
      </x:c>
      <x:c r="R7" s="79" t="n">
        <x:f>G7*Q7</x:f>
        <x:v>120000</x:v>
      </x:c>
      <x:c r="S7" s="58" t="n">
        <x:f>MAX(0,'START HERE'!$B$10-H7)</x:f>
        <x:v>103</x:v>
      </x:c>
      <x:c r="T7" s="58" t="n">
        <x:f>IF(J7="","n.a.",MAX(0,'START HERE'!$B$10-J7))</x:f>
        <x:v>9</x:v>
      </x:c>
      <x:c r="U7" s="58" t="str">
        <x:f>IF(OR(A7="",E7="",P7="UNMAPPED",F7="",G7=0,AND(N7=FALSE,O7=FALSE,I7="")),"CHECK","OK")</x:f>
        <x:v>OK</x:v>
      </x:c>
      <x:c r="V7" s="58" t="str">
        <x:f>IF(COUNTIF($A$7:$A$29,A7)&gt;1,"DUPLICATE","OK")</x:f>
        <x:v>OK</x:v>
      </x:c>
      <x:c r="W7" s="58" t="n">
        <x:f>IF(AND(E7&lt;&gt;"Closed Won",E7&lt;&gt;"Closed Lost",F7=""),1,0)</x:f>
        <x:v>0</x:v>
      </x:c>
      <x:c r="X7" s="58" t="n">
        <x:f>IF(AND(E7&lt;&gt;"Closed Won",E7&lt;&gt;"Closed Lost",I7=""),1,0)</x:f>
        <x:v>0</x:v>
      </x:c>
      <x:c r="Y7" s="58" t="n">
        <x:f>IF(AND(E7&lt;&gt;"Closed Won",E7&lt;&gt;"Closed Lost",K7=""),1,0)</x:f>
        <x:v>0</x:v>
      </x:c>
    </x:row>
    <x:row r="8" ht="15" hidden="0" customHeight="1">
      <x:c r="A8" s="65" t="str">
        <x:v>D-1002</x:v>
      </x:c>
      <x:c r="B8" s="65" t="str">
        <x:v>Beacon Expansion</x:v>
      </x:c>
      <x:c r="C8" s="65" t="str">
        <x:v>Beacon Works</x:v>
      </x:c>
      <x:c r="D8" s="65" t="str">
        <x:v>Sales Pipeline</x:v>
      </x:c>
      <x:c r="E8" s="65" t="str">
        <x:v>Negotiation</x:v>
      </x:c>
      <x:c r="F8" s="65" t="str">
        <x:v>Ben</x:v>
      </x:c>
      <x:c r="G8" s="70" t="n">
        <x:v>100000</x:v>
      </x:c>
      <x:c r="H8" s="69" t="n">
        <x:v>46204</x:v>
      </x:c>
      <x:c r="I8" s="69" t="n">
        <x:v>46300</x:v>
      </x:c>
      <x:c r="J8" s="69" t="n">
        <x:v>46275</x:v>
      </x:c>
      <x:c r="K8" s="69" t="n">
        <x:v>46283</x:v>
      </x:c>
      <x:c r="L8" s="65" t="str">
        <x:v>Best Case</x:v>
      </x:c>
      <x:c r="M8" s="65" t="str">
        <x:v>Expansion</x:v>
      </x:c>
      <x:c r="N8" s="88" t="b">
        <x:v>0</x:v>
      </x:c>
      <x:c r="O8" s="88" t="b">
        <x:v>0</x:v>
      </x:c>
      <x:c r="P8" s="58" t="n">
        <x:f>IFERROR(INDEX('STAGE MAP'!$B$7:$B$12,MATCH(E8,'STAGE MAP'!$A$7:$A$12,0)),"UNMAPPED")</x:f>
        <x:v>4</x:v>
      </x:c>
      <x:c r="Q8" s="80" t="n">
        <x:f>IFERROR(INDEX('STAGE MAP'!$C$7:$C$12,MATCH(E8,'STAGE MAP'!$A$7:$A$12,0)),0)</x:f>
        <x:v>0.75</x:v>
      </x:c>
      <x:c r="R8" s="79" t="n">
        <x:f>G8*Q8</x:f>
        <x:v>75000</x:v>
      </x:c>
      <x:c r="S8" s="58" t="n">
        <x:f>MAX(0,'START HERE'!$B$10-H8)</x:f>
        <x:v>82</x:v>
      </x:c>
      <x:c r="T8" s="58" t="n">
        <x:f>IF(J8="","n.a.",MAX(0,'START HERE'!$B$10-J8))</x:f>
        <x:v>11</x:v>
      </x:c>
      <x:c r="U8" s="58" t="str">
        <x:f>IF(OR(A8="",E8="",P8="UNMAPPED",F8="",G8=0,AND(N8=FALSE,O8=FALSE,I8="")),"CHECK","OK")</x:f>
        <x:v>OK</x:v>
      </x:c>
      <x:c r="V8" s="58" t="str">
        <x:f>IF(COUNTIF($A$7:$A$29,A8)&gt;1,"DUPLICATE","OK")</x:f>
        <x:v>OK</x:v>
      </x:c>
      <x:c r="W8" s="58" t="n">
        <x:f>IF(AND(E8&lt;&gt;"Closed Won",E8&lt;&gt;"Closed Lost",F8=""),1,0)</x:f>
        <x:v>0</x:v>
      </x:c>
      <x:c r="X8" s="58" t="n">
        <x:f>IF(AND(E8&lt;&gt;"Closed Won",E8&lt;&gt;"Closed Lost",I8=""),1,0)</x:f>
        <x:v>0</x:v>
      </x:c>
      <x:c r="Y8" s="58" t="n">
        <x:f>IF(AND(E8&lt;&gt;"Closed Won",E8&lt;&gt;"Closed Lost",K8=""),1,0)</x:f>
        <x:v>0</x:v>
      </x:c>
    </x:row>
    <x:row r="9" ht="15" hidden="0" customHeight="1">
      <x:c r="A9" s="65" t="str">
        <x:v>D-1003</x:v>
      </x:c>
      <x:c r="B9" s="65" t="str">
        <x:v>Cedar Platform</x:v>
      </x:c>
      <x:c r="C9" s="65" t="str">
        <x:v>Cedar Group</x:v>
      </x:c>
      <x:c r="D9" s="65" t="str">
        <x:v>Sales Pipeline</x:v>
      </x:c>
      <x:c r="E9" s="65" t="str">
        <x:v>Evaluation</x:v>
      </x:c>
      <x:c r="F9" s="65" t="str">
        <x:v>Chen</x:v>
      </x:c>
      <x:c r="G9" s="70" t="n">
        <x:v>75000</x:v>
      </x:c>
      <x:c r="H9" s="69" t="n">
        <x:v>46236</x:v>
      </x:c>
      <x:c r="I9" s="69" t="n">
        <x:v>46307</x:v>
      </x:c>
      <x:c r="J9" s="69" t="n">
        <x:v>46276</x:v>
      </x:c>
      <x:c r="K9" s="69" t="n">
        <x:v>46282</x:v>
      </x:c>
      <x:c r="L9" s="65" t="str">
        <x:v>Pipeline</x:v>
      </x:c>
      <x:c r="M9" s="65" t="str">
        <x:v>New</x:v>
      </x:c>
      <x:c r="N9" s="88" t="b">
        <x:v>0</x:v>
      </x:c>
      <x:c r="O9" s="88" t="b">
        <x:v>0</x:v>
      </x:c>
      <x:c r="P9" s="58" t="n">
        <x:f>IFERROR(INDEX('STAGE MAP'!$B$7:$B$12,MATCH(E9,'STAGE MAP'!$A$7:$A$12,0)),"UNMAPPED")</x:f>
        <x:v>3</x:v>
      </x:c>
      <x:c r="Q9" s="80" t="n">
        <x:f>IFERROR(INDEX('STAGE MAP'!$C$7:$C$12,MATCH(E9,'STAGE MAP'!$A$7:$A$12,0)),0)</x:f>
        <x:v>0.5</x:v>
      </x:c>
      <x:c r="R9" s="79" t="n">
        <x:f>G9*Q9</x:f>
        <x:v>37500</x:v>
      </x:c>
      <x:c r="S9" s="58" t="n">
        <x:f>MAX(0,'START HERE'!$B$10-H9)</x:f>
        <x:v>50</x:v>
      </x:c>
      <x:c r="T9" s="58" t="n">
        <x:f>IF(J9="","n.a.",MAX(0,'START HERE'!$B$10-J9))</x:f>
        <x:v>10</x:v>
      </x:c>
      <x:c r="U9" s="58" t="str">
        <x:f>IF(OR(A9="",E9="",P9="UNMAPPED",F9="",G9=0,AND(N9=FALSE,O9=FALSE,I9="")),"CHECK","OK")</x:f>
        <x:v>OK</x:v>
      </x:c>
      <x:c r="V9" s="58" t="str">
        <x:f>IF(COUNTIF($A$7:$A$29,A9)&gt;1,"DUPLICATE","OK")</x:f>
        <x:v>OK</x:v>
      </x:c>
      <x:c r="W9" s="58" t="n">
        <x:f>IF(AND(E9&lt;&gt;"Closed Won",E9&lt;&gt;"Closed Lost",F9=""),1,0)</x:f>
        <x:v>0</x:v>
      </x:c>
      <x:c r="X9" s="58" t="n">
        <x:f>IF(AND(E9&lt;&gt;"Closed Won",E9&lt;&gt;"Closed Lost",I9=""),1,0)</x:f>
        <x:v>0</x:v>
      </x:c>
      <x:c r="Y9" s="58" t="n">
        <x:f>IF(AND(E9&lt;&gt;"Closed Won",E9&lt;&gt;"Closed Lost",K9=""),1,0)</x:f>
        <x:v>0</x:v>
      </x:c>
    </x:row>
    <x:row r="10" ht="15" hidden="0" customHeight="1">
      <x:c r="A10" s="65" t="str">
        <x:v>D-1004</x:v>
      </x:c>
      <x:c r="B10" s="65" t="str">
        <x:v>Delta Rollout</x:v>
      </x:c>
      <x:c r="C10" s="65" t="str">
        <x:v>Delta North</x:v>
      </x:c>
      <x:c r="D10" s="65" t="str">
        <x:v>Sales Pipeline</x:v>
      </x:c>
      <x:c r="E10" s="65" t="str">
        <x:v>Closed Lost</x:v>
      </x:c>
      <x:c r="F10" s="65" t="str">
        <x:v>Deepa</x:v>
      </x:c>
      <x:c r="G10" s="70" t="n">
        <x:v>110000</x:v>
      </x:c>
      <x:c r="H10" s="69" t="n">
        <x:v>46160</x:v>
      </x:c>
      <x:c r="I10" s="69" t="n">
        <x:v>46294</x:v>
      </x:c>
      <x:c r="J10" s="69" t="n">
        <x:v>46278</x:v>
      </x:c>
      <x:c r="K10" s="69" t="n">
        <x:v>46280</x:v>
      </x:c>
      <x:c r="L10" s="65" t="str">
        <x:v>Commit</x:v>
      </x:c>
      <x:c r="M10" s="65" t="str">
        <x:v>New</x:v>
      </x:c>
      <x:c r="N10" s="88" t="b">
        <x:v>0</x:v>
      </x:c>
      <x:c r="O10" s="88" t="b">
        <x:v>1</x:v>
      </x:c>
      <x:c r="P10" s="58" t="n">
        <x:f>IFERROR(INDEX('STAGE MAP'!$B$7:$B$12,MATCH(E10,'STAGE MAP'!$A$7:$A$12,0)),"UNMAPPED")</x:f>
        <x:v>5</x:v>
      </x:c>
      <x:c r="Q10" s="80" t="n">
        <x:f>IFERROR(INDEX('STAGE MAP'!$C$7:$C$12,MATCH(E10,'STAGE MAP'!$A$7:$A$12,0)),0)</x:f>
        <x:v>0</x:v>
      </x:c>
      <x:c r="R10" s="79" t="n">
        <x:f>G10*Q10</x:f>
        <x:v>0</x:v>
      </x:c>
      <x:c r="S10" s="58" t="n">
        <x:f>MAX(0,'START HERE'!$B$10-H10)</x:f>
        <x:v>126</x:v>
      </x:c>
      <x:c r="T10" s="58" t="n">
        <x:f>IF(J10="","n.a.",MAX(0,'START HERE'!$B$10-J10))</x:f>
        <x:v>8</x:v>
      </x:c>
      <x:c r="U10" s="58" t="str">
        <x:f>IF(OR(A10="",E10="",P10="UNMAPPED",F10="",G10=0,AND(N10=FALSE,O10=FALSE,I10="")),"CHECK","OK")</x:f>
        <x:v>OK</x:v>
      </x:c>
      <x:c r="V10" s="58" t="str">
        <x:f>IF(COUNTIF($A$7:$A$29,A10)&gt;1,"DUPLICATE","OK")</x:f>
        <x:v>OK</x:v>
      </x:c>
      <x:c r="W10" s="58" t="n">
        <x:f>IF(AND(E10&lt;&gt;"Closed Won",E10&lt;&gt;"Closed Lost",F10=""),1,0)</x:f>
        <x:v>0</x:v>
      </x:c>
      <x:c r="X10" s="58" t="n">
        <x:f>IF(AND(E10&lt;&gt;"Closed Won",E10&lt;&gt;"Closed Lost",I10=""),1,0)</x:f>
        <x:v>0</x:v>
      </x:c>
      <x:c r="Y10" s="58" t="n">
        <x:f>IF(AND(E10&lt;&gt;"Closed Won",E10&lt;&gt;"Closed Lost",K10=""),1,0)</x:f>
        <x:v>0</x:v>
      </x:c>
    </x:row>
    <x:row r="11" ht="15" hidden="0" customHeight="1">
      <x:c r="A11" s="65" t="str">
        <x:v>D-1005</x:v>
      </x:c>
      <x:c r="B11" s="65" t="str">
        <x:v>Elm Analytics</x:v>
      </x:c>
      <x:c r="C11" s="65" t="str">
        <x:v>Elm Systems</x:v>
      </x:c>
      <x:c r="D11" s="65" t="str">
        <x:v>Sales Pipeline</x:v>
      </x:c>
      <x:c r="E11" s="65" t="str">
        <x:v>Qualified</x:v>
      </x:c>
      <x:c r="F11" s="65" t="str">
        <x:v>Eli</x:v>
      </x:c>
      <x:c r="G11" s="70" t="n">
        <x:v>40000</x:v>
      </x:c>
      <x:c r="H11" s="69" t="n">
        <x:v>46266</x:v>
      </x:c>
      <x:c r="I11" s="69" t="n">
        <x:v>46327</x:v>
      </x:c>
      <x:c r="J11" s="69" t="n">
        <x:v>46274</x:v>
      </x:c>
      <x:c r="K11" s="69" t="n">
        <x:v>46287</x:v>
      </x:c>
      <x:c r="L11" s="65" t="str">
        <x:v>Pipeline</x:v>
      </x:c>
      <x:c r="M11" s="65" t="str">
        <x:v>New</x:v>
      </x:c>
      <x:c r="N11" s="88" t="b">
        <x:v>0</x:v>
      </x:c>
      <x:c r="O11" s="88" t="b">
        <x:v>0</x:v>
      </x:c>
      <x:c r="P11" s="58" t="n">
        <x:f>IFERROR(INDEX('STAGE MAP'!$B$7:$B$12,MATCH(E11,'STAGE MAP'!$A$7:$A$12,0)),"UNMAPPED")</x:f>
        <x:v>2</x:v>
      </x:c>
      <x:c r="Q11" s="80" t="n">
        <x:f>IFERROR(INDEX('STAGE MAP'!$C$7:$C$12,MATCH(E11,'STAGE MAP'!$A$7:$A$12,0)),0)</x:f>
        <x:v>0.25</x:v>
      </x:c>
      <x:c r="R11" s="79" t="n">
        <x:f>G11*Q11</x:f>
        <x:v>10000</x:v>
      </x:c>
      <x:c r="S11" s="58" t="n">
        <x:f>MAX(0,'START HERE'!$B$10-H11)</x:f>
        <x:v>20</x:v>
      </x:c>
      <x:c r="T11" s="58" t="n">
        <x:f>IF(J11="","n.a.",MAX(0,'START HERE'!$B$10-J11))</x:f>
        <x:v>12</x:v>
      </x:c>
      <x:c r="U11" s="58" t="str">
        <x:f>IF(OR(A11="",E11="",P11="UNMAPPED",F11="",G11=0,AND(N11=FALSE,O11=FALSE,I11="")),"CHECK","OK")</x:f>
        <x:v>OK</x:v>
      </x:c>
      <x:c r="V11" s="58" t="str">
        <x:f>IF(COUNTIF($A$7:$A$29,A11)&gt;1,"DUPLICATE","OK")</x:f>
        <x:v>OK</x:v>
      </x:c>
      <x:c r="W11" s="58" t="n">
        <x:f>IF(AND(E11&lt;&gt;"Closed Won",E11&lt;&gt;"Closed Lost",F11=""),1,0)</x:f>
        <x:v>0</x:v>
      </x:c>
      <x:c r="X11" s="58" t="n">
        <x:f>IF(AND(E11&lt;&gt;"Closed Won",E11&lt;&gt;"Closed Lost",I11=""),1,0)</x:f>
        <x:v>0</x:v>
      </x:c>
      <x:c r="Y11" s="58" t="n">
        <x:f>IF(AND(E11&lt;&gt;"Closed Won",E11&lt;&gt;"Closed Lost",K11=""),1,0)</x:f>
        <x:v>0</x:v>
      </x:c>
    </x:row>
    <x:row r="12" ht="15" hidden="0" customHeight="1">
      <x:c r="A12" s="65" t="str">
        <x:v>D-1006</x:v>
      </x:c>
      <x:c r="B12" s="65" t="str">
        <x:v>Fjord Upgrade</x:v>
      </x:c>
      <x:c r="C12" s="65" t="str">
        <x:v>Fjord Health</x:v>
      </x:c>
      <x:c r="D12" s="65" t="str">
        <x:v>Sales Pipeline</x:v>
      </x:c>
      <x:c r="E12" s="65" t="str">
        <x:v>Evaluation</x:v>
      </x:c>
      <x:c r="F12" s="65" t="str">
        <x:v>Amara</x:v>
      </x:c>
      <x:c r="G12" s="70" t="n">
        <x:v>70000</x:v>
      </x:c>
      <x:c r="H12" s="69" t="n">
        <x:v>46193</x:v>
      </x:c>
      <x:c r="I12" s="69" t="n">
        <x:v>46310</x:v>
      </x:c>
      <x:c r="J12" s="69" t="n">
        <x:v>46268</x:v>
      </x:c>
      <x:c r="K12" s="69" t="n">
        <x:v>46282</x:v>
      </x:c>
      <x:c r="L12" s="65" t="str">
        <x:v>Best Case</x:v>
      </x:c>
      <x:c r="M12" s="65" t="str">
        <x:v>Expansion</x:v>
      </x:c>
      <x:c r="N12" s="88" t="b">
        <x:v>0</x:v>
      </x:c>
      <x:c r="O12" s="88" t="b">
        <x:v>0</x:v>
      </x:c>
      <x:c r="P12" s="58" t="n">
        <x:f>IFERROR(INDEX('STAGE MAP'!$B$7:$B$12,MATCH(E12,'STAGE MAP'!$A$7:$A$12,0)),"UNMAPPED")</x:f>
        <x:v>3</x:v>
      </x:c>
      <x:c r="Q12" s="80" t="n">
        <x:f>IFERROR(INDEX('STAGE MAP'!$C$7:$C$12,MATCH(E12,'STAGE MAP'!$A$7:$A$12,0)),0)</x:f>
        <x:v>0.5</x:v>
      </x:c>
      <x:c r="R12" s="79" t="n">
        <x:f>G12*Q12</x:f>
        <x:v>35000</x:v>
      </x:c>
      <x:c r="S12" s="58" t="n">
        <x:f>MAX(0,'START HERE'!$B$10-H12)</x:f>
        <x:v>93</x:v>
      </x:c>
      <x:c r="T12" s="58" t="n">
        <x:f>IF(J12="","n.a.",MAX(0,'START HERE'!$B$10-J12))</x:f>
        <x:v>18</x:v>
      </x:c>
      <x:c r="U12" s="58" t="str">
        <x:f>IF(OR(A12="",E12="",P12="UNMAPPED",F12="",G12=0,AND(N12=FALSE,O12=FALSE,I12="")),"CHECK","OK")</x:f>
        <x:v>OK</x:v>
      </x:c>
      <x:c r="V12" s="58" t="str">
        <x:f>IF(COUNTIF($A$7:$A$29,A12)&gt;1,"DUPLICATE","OK")</x:f>
        <x:v>OK</x:v>
      </x:c>
      <x:c r="W12" s="58" t="n">
        <x:f>IF(AND(E12&lt;&gt;"Closed Won",E12&lt;&gt;"Closed Lost",F12=""),1,0)</x:f>
        <x:v>0</x:v>
      </x:c>
      <x:c r="X12" s="58" t="n">
        <x:f>IF(AND(E12&lt;&gt;"Closed Won",E12&lt;&gt;"Closed Lost",I12=""),1,0)</x:f>
        <x:v>0</x:v>
      </x:c>
      <x:c r="Y12" s="58" t="n">
        <x:f>IF(AND(E12&lt;&gt;"Closed Won",E12&lt;&gt;"Closed Lost",K12=""),1,0)</x:f>
        <x:v>0</x:v>
      </x:c>
    </x:row>
    <x:row r="13" ht="15" hidden="0" customHeight="1">
      <x:c r="A13" s="65" t="str">
        <x:v>D-1007</x:v>
      </x:c>
      <x:c r="B13" s="65" t="str">
        <x:v>Grove Renewal</x:v>
      </x:c>
      <x:c r="C13" s="65" t="str">
        <x:v>Grove Media</x:v>
      </x:c>
      <x:c r="D13" s="65" t="str">
        <x:v>Sales Pipeline</x:v>
      </x:c>
      <x:c r="E13" s="65" t="str">
        <x:v>Negotiation</x:v>
      </x:c>
      <x:c r="F13" s="65" t="str">
        <x:v>Ben</x:v>
      </x:c>
      <x:c r="G13" s="70" t="n">
        <x:v>65000</x:v>
      </x:c>
      <x:c r="H13" s="69" t="n">
        <x:v>46127</x:v>
      </x:c>
      <x:c r="I13" s="69" t="n">
        <x:v>46315</x:v>
      </x:c>
      <x:c r="J13" s="69" t="n">
        <x:v>46277</x:v>
      </x:c>
      <x:c r="K13" s="69" t="n">
        <x:v>46281</x:v>
      </x:c>
      <x:c r="L13" s="65" t="str">
        <x:v>Commit</x:v>
      </x:c>
      <x:c r="M13" s="65" t="str">
        <x:v>Renewal</x:v>
      </x:c>
      <x:c r="N13" s="88" t="b">
        <x:v>0</x:v>
      </x:c>
      <x:c r="O13" s="88" t="b">
        <x:v>0</x:v>
      </x:c>
      <x:c r="P13" s="58" t="n">
        <x:f>IFERROR(INDEX('STAGE MAP'!$B$7:$B$12,MATCH(E13,'STAGE MAP'!$A$7:$A$12,0)),"UNMAPPED")</x:f>
        <x:v>4</x:v>
      </x:c>
      <x:c r="Q13" s="80" t="n">
        <x:f>IFERROR(INDEX('STAGE MAP'!$C$7:$C$12,MATCH(E13,'STAGE MAP'!$A$7:$A$12,0)),0)</x:f>
        <x:v>0.75</x:v>
      </x:c>
      <x:c r="R13" s="79" t="n">
        <x:f>G13*Q13</x:f>
        <x:v>48750</x:v>
      </x:c>
      <x:c r="S13" s="58" t="n">
        <x:f>MAX(0,'START HERE'!$B$10-H13)</x:f>
        <x:v>159</x:v>
      </x:c>
      <x:c r="T13" s="58" t="n">
        <x:f>IF(J13="","n.a.",MAX(0,'START HERE'!$B$10-J13))</x:f>
        <x:v>9</x:v>
      </x:c>
      <x:c r="U13" s="58" t="str">
        <x:f>IF(OR(A13="",E13="",P13="UNMAPPED",F13="",G13=0,AND(N13=FALSE,O13=FALSE,I13="")),"CHECK","OK")</x:f>
        <x:v>OK</x:v>
      </x:c>
      <x:c r="V13" s="58" t="str">
        <x:f>IF(COUNTIF($A$7:$A$29,A13)&gt;1,"DUPLICATE","OK")</x:f>
        <x:v>OK</x:v>
      </x:c>
      <x:c r="W13" s="58" t="n">
        <x:f>IF(AND(E13&lt;&gt;"Closed Won",E13&lt;&gt;"Closed Lost",F13=""),1,0)</x:f>
        <x:v>0</x:v>
      </x:c>
      <x:c r="X13" s="58" t="n">
        <x:f>IF(AND(E13&lt;&gt;"Closed Won",E13&lt;&gt;"Closed Lost",I13=""),1,0)</x:f>
        <x:v>0</x:v>
      </x:c>
      <x:c r="Y13" s="58" t="n">
        <x:f>IF(AND(E13&lt;&gt;"Closed Won",E13&lt;&gt;"Closed Lost",K13=""),1,0)</x:f>
        <x:v>0</x:v>
      </x:c>
    </x:row>
    <x:row r="14" ht="15" hidden="0" customHeight="1">
      <x:c r="A14" s="65" t="str">
        <x:v>D-1008</x:v>
      </x:c>
      <x:c r="B14" s="65" t="str">
        <x:v>Harbor Suite</x:v>
      </x:c>
      <x:c r="C14" s="65" t="str">
        <x:v>Harbor Co</x:v>
      </x:c>
      <x:c r="D14" s="65" t="str">
        <x:v>Sales Pipeline</x:v>
      </x:c>
      <x:c r="E14" s="65" t="str">
        <x:v>Discovery</x:v>
      </x:c>
      <x:c r="F14" s="65" t="str">
        <x:v>Chen</x:v>
      </x:c>
      <x:c r="G14" s="70" t="n">
        <x:v>55000</x:v>
      </x:c>
      <x:c r="H14" s="69" t="n">
        <x:v>46225</x:v>
      </x:c>
      <x:c r="I14" s="69" t="n">
        <x:v>46310</x:v>
      </x:c>
      <x:c r="J14" s="69" t="n">
        <x:v>46273</x:v>
      </x:c>
      <x:c r="K14" s="69" t="n">
        <x:v>46285</x:v>
      </x:c>
      <x:c r="L14" s="65" t="str">
        <x:v>Pipeline</x:v>
      </x:c>
      <x:c r="M14" s="65" t="str">
        <x:v>New</x:v>
      </x:c>
      <x:c r="N14" s="88" t="b">
        <x:v>0</x:v>
      </x:c>
      <x:c r="O14" s="88" t="b">
        <x:v>0</x:v>
      </x:c>
      <x:c r="P14" s="58" t="n">
        <x:f>IFERROR(INDEX('STAGE MAP'!$B$7:$B$12,MATCH(E14,'STAGE MAP'!$A$7:$A$12,0)),"UNMAPPED")</x:f>
        <x:v>1</x:v>
      </x:c>
      <x:c r="Q14" s="80" t="n">
        <x:f>IFERROR(INDEX('STAGE MAP'!$C$7:$C$12,MATCH(E14,'STAGE MAP'!$A$7:$A$12,0)),0)</x:f>
        <x:v>0.1</x:v>
      </x:c>
      <x:c r="R14" s="79" t="n">
        <x:f>G14*Q14</x:f>
        <x:v>5500</x:v>
      </x:c>
      <x:c r="S14" s="58" t="n">
        <x:f>MAX(0,'START HERE'!$B$10-H14)</x:f>
        <x:v>61</x:v>
      </x:c>
      <x:c r="T14" s="58" t="n">
        <x:f>IF(J14="","n.a.",MAX(0,'START HERE'!$B$10-J14))</x:f>
        <x:v>13</x:v>
      </x:c>
      <x:c r="U14" s="58" t="str">
        <x:f>IF(OR(A14="",E14="",P14="UNMAPPED",F14="",G14=0,AND(N14=FALSE,O14=FALSE,I14="")),"CHECK","OK")</x:f>
        <x:v>OK</x:v>
      </x:c>
      <x:c r="V14" s="58" t="str">
        <x:f>IF(COUNTIF($A$7:$A$29,A14)&gt;1,"DUPLICATE","OK")</x:f>
        <x:v>OK</x:v>
      </x:c>
      <x:c r="W14" s="58" t="n">
        <x:f>IF(AND(E14&lt;&gt;"Closed Won",E14&lt;&gt;"Closed Lost",F14=""),1,0)</x:f>
        <x:v>0</x:v>
      </x:c>
      <x:c r="X14" s="58" t="n">
        <x:f>IF(AND(E14&lt;&gt;"Closed Won",E14&lt;&gt;"Closed Lost",I14=""),1,0)</x:f>
        <x:v>0</x:v>
      </x:c>
      <x:c r="Y14" s="58" t="n">
        <x:f>IF(AND(E14&lt;&gt;"Closed Won",E14&lt;&gt;"Closed Lost",K14=""),1,0)</x:f>
        <x:v>0</x:v>
      </x:c>
    </x:row>
    <x:row r="15" ht="15" hidden="0" customHeight="1">
      <x:c r="A15" s="65" t="str">
        <x:v>D-1009</x:v>
      </x:c>
      <x:c r="B15" s="65" t="str">
        <x:v>Ion Services</x:v>
      </x:c>
      <x:c r="C15" s="65" t="str">
        <x:v>Ion Partners</x:v>
      </x:c>
      <x:c r="D15" s="65" t="str">
        <x:v>Sales Pipeline</x:v>
      </x:c>
      <x:c r="E15" s="65" t="str">
        <x:v>Discovery</x:v>
      </x:c>
      <x:c r="F15" s="65" t="str">
        <x:v>Deepa</x:v>
      </x:c>
      <x:c r="G15" s="70" t="n">
        <x:v>35000</x:v>
      </x:c>
      <x:c r="H15" s="69" t="n">
        <x:v>46218</x:v>
      </x:c>
      <x:c r="I15" s="69" t="n">
        <x:v>46325</x:v>
      </x:c>
      <x:c r="J15" s="69" t="n">
        <x:v>46254</x:v>
      </x:c>
      <x:c r="K15" s="69"/>
      <x:c r="L15" s="65" t="str">
        <x:v>Pipeline</x:v>
      </x:c>
      <x:c r="M15" s="65" t="str">
        <x:v>New</x:v>
      </x:c>
      <x:c r="N15" s="88" t="b">
        <x:v>0</x:v>
      </x:c>
      <x:c r="O15" s="88" t="b">
        <x:v>0</x:v>
      </x:c>
      <x:c r="P15" s="58" t="n">
        <x:f>IFERROR(INDEX('STAGE MAP'!$B$7:$B$12,MATCH(E15,'STAGE MAP'!$A$7:$A$12,0)),"UNMAPPED")</x:f>
        <x:v>1</x:v>
      </x:c>
      <x:c r="Q15" s="80" t="n">
        <x:f>IFERROR(INDEX('STAGE MAP'!$C$7:$C$12,MATCH(E15,'STAGE MAP'!$A$7:$A$12,0)),0)</x:f>
        <x:v>0.1</x:v>
      </x:c>
      <x:c r="R15" s="79" t="n">
        <x:f>G15*Q15</x:f>
        <x:v>3500</x:v>
      </x:c>
      <x:c r="S15" s="58" t="n">
        <x:f>MAX(0,'START HERE'!$B$10-H15)</x:f>
        <x:v>68</x:v>
      </x:c>
      <x:c r="T15" s="58" t="n">
        <x:f>IF(J15="","n.a.",MAX(0,'START HERE'!$B$10-J15))</x:f>
        <x:v>32</x:v>
      </x:c>
      <x:c r="U15" s="58" t="str">
        <x:f>IF(OR(A15="",E15="",P15="UNMAPPED",F15="",G15=0,AND(N15=FALSE,O15=FALSE,I15="")),"CHECK","OK")</x:f>
        <x:v>OK</x:v>
      </x:c>
      <x:c r="V15" s="58" t="str">
        <x:f>IF(COUNTIF($A$7:$A$29,A15)&gt;1,"DUPLICATE","OK")</x:f>
        <x:v>OK</x:v>
      </x:c>
      <x:c r="W15" s="58" t="n">
        <x:f>IF(AND(E15&lt;&gt;"Closed Won",E15&lt;&gt;"Closed Lost",F15=""),1,0)</x:f>
        <x:v>0</x:v>
      </x:c>
      <x:c r="X15" s="58" t="n">
        <x:f>IF(AND(E15&lt;&gt;"Closed Won",E15&lt;&gt;"Closed Lost",I15=""),1,0)</x:f>
        <x:v>0</x:v>
      </x:c>
      <x:c r="Y15" s="58" t="n">
        <x:f>IF(AND(E15&lt;&gt;"Closed Won",E15&lt;&gt;"Closed Lost",K15=""),1,0)</x:f>
        <x:v>1</x:v>
      </x:c>
    </x:row>
    <x:row r="16" ht="15" hidden="0" customHeight="1">
      <x:c r="A16" s="65" t="str">
        <x:v>D-1010</x:v>
      </x:c>
      <x:c r="B16" s="65" t="str">
        <x:v>Juniper Cloud</x:v>
      </x:c>
      <x:c r="C16" s="65" t="str">
        <x:v>Juniper PLC</x:v>
      </x:c>
      <x:c r="D16" s="65" t="str">
        <x:v>Sales Pipeline</x:v>
      </x:c>
      <x:c r="E16" s="65" t="str">
        <x:v>Evaluation</x:v>
      </x:c>
      <x:c r="F16" s="65" t="str">
        <x:v>Eli</x:v>
      </x:c>
      <x:c r="G16" s="70" t="n">
        <x:v>95000</x:v>
      </x:c>
      <x:c r="H16" s="69" t="n">
        <x:v>46172</x:v>
      </x:c>
      <x:c r="I16" s="69" t="n">
        <x:v>46303</x:v>
      </x:c>
      <x:c r="J16" s="69" t="n">
        <x:v>46259</x:v>
      </x:c>
      <x:c r="K16" s="69" t="n">
        <x:v>46284</x:v>
      </x:c>
      <x:c r="L16" s="65" t="str">
        <x:v>Best Case</x:v>
      </x:c>
      <x:c r="M16" s="65" t="str">
        <x:v>New</x:v>
      </x:c>
      <x:c r="N16" s="88" t="b">
        <x:v>0</x:v>
      </x:c>
      <x:c r="O16" s="88" t="b">
        <x:v>0</x:v>
      </x:c>
      <x:c r="P16" s="58" t="n">
        <x:f>IFERROR(INDEX('STAGE MAP'!$B$7:$B$12,MATCH(E16,'STAGE MAP'!$A$7:$A$12,0)),"UNMAPPED")</x:f>
        <x:v>3</x:v>
      </x:c>
      <x:c r="Q16" s="80" t="n">
        <x:f>IFERROR(INDEX('STAGE MAP'!$C$7:$C$12,MATCH(E16,'STAGE MAP'!$A$7:$A$12,0)),0)</x:f>
        <x:v>0.5</x:v>
      </x:c>
      <x:c r="R16" s="79" t="n">
        <x:f>G16*Q16</x:f>
        <x:v>47500</x:v>
      </x:c>
      <x:c r="S16" s="58" t="n">
        <x:f>MAX(0,'START HERE'!$B$10-H16)</x:f>
        <x:v>114</x:v>
      </x:c>
      <x:c r="T16" s="58" t="n">
        <x:f>IF(J16="","n.a.",MAX(0,'START HERE'!$B$10-J16))</x:f>
        <x:v>27</x:v>
      </x:c>
      <x:c r="U16" s="58" t="str">
        <x:f>IF(OR(A16="",E16="",P16="UNMAPPED",F16="",G16=0,AND(N16=FALSE,O16=FALSE,I16="")),"CHECK","OK")</x:f>
        <x:v>OK</x:v>
      </x:c>
      <x:c r="V16" s="58" t="str">
        <x:f>IF(COUNTIF($A$7:$A$29,A16)&gt;1,"DUPLICATE","OK")</x:f>
        <x:v>OK</x:v>
      </x:c>
      <x:c r="W16" s="58" t="n">
        <x:f>IF(AND(E16&lt;&gt;"Closed Won",E16&lt;&gt;"Closed Lost",F16=""),1,0)</x:f>
        <x:v>0</x:v>
      </x:c>
      <x:c r="X16" s="58" t="n">
        <x:f>IF(AND(E16&lt;&gt;"Closed Won",E16&lt;&gt;"Closed Lost",I16=""),1,0)</x:f>
        <x:v>0</x:v>
      </x:c>
      <x:c r="Y16" s="58" t="n">
        <x:f>IF(AND(E16&lt;&gt;"Closed Won",E16&lt;&gt;"Closed Lost",K16=""),1,0)</x:f>
        <x:v>0</x:v>
      </x:c>
    </x:row>
    <x:row r="17" ht="15" hidden="0" customHeight="1">
      <x:c r="A17" s="65" t="str">
        <x:v>D-1011</x:v>
      </x:c>
      <x:c r="B17" s="65" t="str">
        <x:v>Kite Security</x:v>
      </x:c>
      <x:c r="C17" s="65" t="str">
        <x:v>Kite Ltd</x:v>
      </x:c>
      <x:c r="D17" s="65" t="str">
        <x:v>Sales Pipeline</x:v>
      </x:c>
      <x:c r="E17" s="65" t="str">
        <x:v>Qualified</x:v>
      </x:c>
      <x:c r="F17" s="65" t="str">
        <x:v>Amara</x:v>
      </x:c>
      <x:c r="G17" s="70" t="n">
        <x:v>50000</x:v>
      </x:c>
      <x:c r="H17" s="69" t="n">
        <x:v>46254</x:v>
      </x:c>
      <x:c r="I17" s="69"/>
      <x:c r="J17" s="69" t="n">
        <x:v>46278</x:v>
      </x:c>
      <x:c r="K17" s="69" t="n">
        <x:v>46286</x:v>
      </x:c>
      <x:c r="L17" s="65" t="str">
        <x:v>Pipeline</x:v>
      </x:c>
      <x:c r="M17" s="65" t="str">
        <x:v>New</x:v>
      </x:c>
      <x:c r="N17" s="88" t="b">
        <x:v>0</x:v>
      </x:c>
      <x:c r="O17" s="88" t="b">
        <x:v>0</x:v>
      </x:c>
      <x:c r="P17" s="58" t="n">
        <x:f>IFERROR(INDEX('STAGE MAP'!$B$7:$B$12,MATCH(E17,'STAGE MAP'!$A$7:$A$12,0)),"UNMAPPED")</x:f>
        <x:v>2</x:v>
      </x:c>
      <x:c r="Q17" s="80" t="n">
        <x:f>IFERROR(INDEX('STAGE MAP'!$C$7:$C$12,MATCH(E17,'STAGE MAP'!$A$7:$A$12,0)),0)</x:f>
        <x:v>0.25</x:v>
      </x:c>
      <x:c r="R17" s="79" t="n">
        <x:f>G17*Q17</x:f>
        <x:v>12500</x:v>
      </x:c>
      <x:c r="S17" s="58" t="n">
        <x:f>MAX(0,'START HERE'!$B$10-H17)</x:f>
        <x:v>32</x:v>
      </x:c>
      <x:c r="T17" s="58" t="n">
        <x:f>IF(J17="","n.a.",MAX(0,'START HERE'!$B$10-J17))</x:f>
        <x:v>8</x:v>
      </x:c>
      <x:c r="U17" s="58" t="str">
        <x:f>IF(OR(A17="",E17="",P17="UNMAPPED",F17="",G17=0,AND(N17=FALSE,O17=FALSE,I17="")),"CHECK","OK")</x:f>
        <x:v>CHECK</x:v>
      </x:c>
      <x:c r="V17" s="58" t="str">
        <x:f>IF(COUNTIF($A$7:$A$29,A17)&gt;1,"DUPLICATE","OK")</x:f>
        <x:v>OK</x:v>
      </x:c>
      <x:c r="W17" s="58" t="n">
        <x:f>IF(AND(E17&lt;&gt;"Closed Won",E17&lt;&gt;"Closed Lost",F17=""),1,0)</x:f>
        <x:v>0</x:v>
      </x:c>
      <x:c r="X17" s="58" t="n">
        <x:f>IF(AND(E17&lt;&gt;"Closed Won",E17&lt;&gt;"Closed Lost",I17=""),1,0)</x:f>
        <x:v>1</x:v>
      </x:c>
      <x:c r="Y17" s="58" t="n">
        <x:f>IF(AND(E17&lt;&gt;"Closed Won",E17&lt;&gt;"Closed Lost",K17=""),1,0)</x:f>
        <x:v>0</x:v>
      </x:c>
    </x:row>
    <x:row r="18" ht="15" hidden="0" customHeight="1">
      <x:c r="A18" s="65" t="str">
        <x:v>D-1012</x:v>
      </x:c>
      <x:c r="B18" s="65" t="str">
        <x:v>Lumen Data</x:v>
      </x:c>
      <x:c r="C18" s="65" t="str">
        <x:v>Lumen Inc</x:v>
      </x:c>
      <x:c r="D18" s="65" t="str">
        <x:v>Sales Pipeline</x:v>
      </x:c>
      <x:c r="E18" s="65" t="str">
        <x:v>Negotiation</x:v>
      </x:c>
      <x:c r="F18" s="65" t="str">
        <x:v>Ben</x:v>
      </x:c>
      <x:c r="G18" s="70" t="n">
        <x:v>130000</x:v>
      </x:c>
      <x:c r="H18" s="69" t="n">
        <x:v>46132</x:v>
      </x:c>
      <x:c r="I18" s="69" t="n">
        <x:v>46326</x:v>
      </x:c>
      <x:c r="J18" s="69" t="n">
        <x:v>46276</x:v>
      </x:c>
      <x:c r="K18" s="69" t="n">
        <x:v>46283</x:v>
      </x:c>
      <x:c r="L18" s="65" t="str">
        <x:v>Commit</x:v>
      </x:c>
      <x:c r="M18" s="65" t="str">
        <x:v>New</x:v>
      </x:c>
      <x:c r="N18" s="88" t="b">
        <x:v>0</x:v>
      </x:c>
      <x:c r="O18" s="88" t="b">
        <x:v>0</x:v>
      </x:c>
      <x:c r="P18" s="58" t="n">
        <x:f>IFERROR(INDEX('STAGE MAP'!$B$7:$B$12,MATCH(E18,'STAGE MAP'!$A$7:$A$12,0)),"UNMAPPED")</x:f>
        <x:v>4</x:v>
      </x:c>
      <x:c r="Q18" s="80" t="n">
        <x:f>IFERROR(INDEX('STAGE MAP'!$C$7:$C$12,MATCH(E18,'STAGE MAP'!$A$7:$A$12,0)),0)</x:f>
        <x:v>0.75</x:v>
      </x:c>
      <x:c r="R18" s="79" t="n">
        <x:f>G18*Q18</x:f>
        <x:v>97500</x:v>
      </x:c>
      <x:c r="S18" s="58" t="n">
        <x:f>MAX(0,'START HERE'!$B$10-H18)</x:f>
        <x:v>154</x:v>
      </x:c>
      <x:c r="T18" s="58" t="n">
        <x:f>IF(J18="","n.a.",MAX(0,'START HERE'!$B$10-J18))</x:f>
        <x:v>10</x:v>
      </x:c>
      <x:c r="U18" s="58" t="str">
        <x:f>IF(OR(A18="",E18="",P18="UNMAPPED",F18="",G18=0,AND(N18=FALSE,O18=FALSE,I18="")),"CHECK","OK")</x:f>
        <x:v>OK</x:v>
      </x:c>
      <x:c r="V18" s="58" t="str">
        <x:f>IF(COUNTIF($A$7:$A$29,A18)&gt;1,"DUPLICATE","OK")</x:f>
        <x:v>OK</x:v>
      </x:c>
      <x:c r="W18" s="58" t="n">
        <x:f>IF(AND(E18&lt;&gt;"Closed Won",E18&lt;&gt;"Closed Lost",F18=""),1,0)</x:f>
        <x:v>0</x:v>
      </x:c>
      <x:c r="X18" s="58" t="n">
        <x:f>IF(AND(E18&lt;&gt;"Closed Won",E18&lt;&gt;"Closed Lost",I18=""),1,0)</x:f>
        <x:v>0</x:v>
      </x:c>
      <x:c r="Y18" s="58" t="n">
        <x:f>IF(AND(E18&lt;&gt;"Closed Won",E18&lt;&gt;"Closed Lost",K18=""),1,0)</x:f>
        <x:v>0</x:v>
      </x:c>
    </x:row>
    <x:row r="19" ht="15" hidden="0" customHeight="1">
      <x:c r="A19" s="65" t="str">
        <x:v>D-1013</x:v>
      </x:c>
      <x:c r="B19" s="65" t="str">
        <x:v>Mosaic Pilot</x:v>
      </x:c>
      <x:c r="C19" s="65" t="str">
        <x:v>Mosaic AI</x:v>
      </x:c>
      <x:c r="D19" s="65" t="str">
        <x:v>Sales Pipeline</x:v>
      </x:c>
      <x:c r="E19" s="65" t="str">
        <x:v>Discovery</x:v>
      </x:c>
      <x:c r="F19" s="65" t="str"/>
      <x:c r="G19" s="70" t="n">
        <x:v>30000</x:v>
      </x:c>
      <x:c r="H19" s="69" t="n">
        <x:v>46268</x:v>
      </x:c>
      <x:c r="I19" s="69" t="n">
        <x:v>46341</x:v>
      </x:c>
      <x:c r="J19" s="69" t="n">
        <x:v>46263</x:v>
      </x:c>
      <x:c r="K19" s="69" t="n">
        <x:v>46289</x:v>
      </x:c>
      <x:c r="L19" s="65" t="str">
        <x:v>Pipeline</x:v>
      </x:c>
      <x:c r="M19" s="65" t="str">
        <x:v>New</x:v>
      </x:c>
      <x:c r="N19" s="88" t="b">
        <x:v>0</x:v>
      </x:c>
      <x:c r="O19" s="88" t="b">
        <x:v>0</x:v>
      </x:c>
      <x:c r="P19" s="58" t="n">
        <x:f>IFERROR(INDEX('STAGE MAP'!$B$7:$B$12,MATCH(E19,'STAGE MAP'!$A$7:$A$12,0)),"UNMAPPED")</x:f>
        <x:v>1</x:v>
      </x:c>
      <x:c r="Q19" s="80" t="n">
        <x:f>IFERROR(INDEX('STAGE MAP'!$C$7:$C$12,MATCH(E19,'STAGE MAP'!$A$7:$A$12,0)),0)</x:f>
        <x:v>0.1</x:v>
      </x:c>
      <x:c r="R19" s="79" t="n">
        <x:f>G19*Q19</x:f>
        <x:v>3000</x:v>
      </x:c>
      <x:c r="S19" s="58" t="n">
        <x:f>MAX(0,'START HERE'!$B$10-H19)</x:f>
        <x:v>18</x:v>
      </x:c>
      <x:c r="T19" s="58" t="n">
        <x:f>IF(J19="","n.a.",MAX(0,'START HERE'!$B$10-J19))</x:f>
        <x:v>23</x:v>
      </x:c>
      <x:c r="U19" s="58" t="str">
        <x:f>IF(OR(A19="",E19="",P19="UNMAPPED",F19="",G19=0,AND(N19=FALSE,O19=FALSE,I19="")),"CHECK","OK")</x:f>
        <x:v>CHECK</x:v>
      </x:c>
      <x:c r="V19" s="58" t="str">
        <x:f>IF(COUNTIF($A$7:$A$29,A19)&gt;1,"DUPLICATE","OK")</x:f>
        <x:v>OK</x:v>
      </x:c>
      <x:c r="W19" s="58" t="n">
        <x:f>IF(AND(E19&lt;&gt;"Closed Won",E19&lt;&gt;"Closed Lost",F19=""),1,0)</x:f>
        <x:v>1</x:v>
      </x:c>
      <x:c r="X19" s="58" t="n">
        <x:f>IF(AND(E19&lt;&gt;"Closed Won",E19&lt;&gt;"Closed Lost",I19=""),1,0)</x:f>
        <x:v>0</x:v>
      </x:c>
      <x:c r="Y19" s="58" t="n">
        <x:f>IF(AND(E19&lt;&gt;"Closed Won",E19&lt;&gt;"Closed Lost",K19=""),1,0)</x:f>
        <x:v>0</x:v>
      </x:c>
    </x:row>
    <x:row r="20" ht="15" hidden="0" customHeight="1">
      <x:c r="A20" s="65" t="str">
        <x:v>D-1014</x:v>
      </x:c>
      <x:c r="B20" s="65" t="str">
        <x:v>Noble Annual</x:v>
      </x:c>
      <x:c r="C20" s="65" t="str">
        <x:v>Noble Ops</x:v>
      </x:c>
      <x:c r="D20" s="65" t="str">
        <x:v>Sales Pipeline</x:v>
      </x:c>
      <x:c r="E20" s="65" t="str">
        <x:v>Closed Won</x:v>
      </x:c>
      <x:c r="F20" s="65" t="str">
        <x:v>Chen</x:v>
      </x:c>
      <x:c r="G20" s="70" t="n">
        <x:v>85000</x:v>
      </x:c>
      <x:c r="H20" s="69" t="n">
        <x:v>46191</x:v>
      </x:c>
      <x:c r="I20" s="69" t="n">
        <x:v>46291</x:v>
      </x:c>
      <x:c r="J20" s="69" t="n">
        <x:v>46278</x:v>
      </x:c>
      <x:c r="K20" s="69" t="n">
        <x:v>46282</x:v>
      </x:c>
      <x:c r="L20" s="65" t="str">
        <x:v>Best Case</x:v>
      </x:c>
      <x:c r="M20" s="65" t="str">
        <x:v>New</x:v>
      </x:c>
      <x:c r="N20" s="88" t="b">
        <x:v>1</x:v>
      </x:c>
      <x:c r="O20" s="88" t="b">
        <x:v>0</x:v>
      </x:c>
      <x:c r="P20" s="58" t="n">
        <x:f>IFERROR(INDEX('STAGE MAP'!$B$7:$B$12,MATCH(E20,'STAGE MAP'!$A$7:$A$12,0)),"UNMAPPED")</x:f>
        <x:v>5</x:v>
      </x:c>
      <x:c r="Q20" s="80" t="n">
        <x:f>IFERROR(INDEX('STAGE MAP'!$C$7:$C$12,MATCH(E20,'STAGE MAP'!$A$7:$A$12,0)),0)</x:f>
        <x:v>1</x:v>
      </x:c>
      <x:c r="R20" s="79" t="n">
        <x:f>G20*Q20</x:f>
        <x:v>85000</x:v>
      </x:c>
      <x:c r="S20" s="58" t="n">
        <x:f>MAX(0,'START HERE'!$B$10-H20)</x:f>
        <x:v>95</x:v>
      </x:c>
      <x:c r="T20" s="58" t="n">
        <x:f>IF(J20="","n.a.",MAX(0,'START HERE'!$B$10-J20))</x:f>
        <x:v>8</x:v>
      </x:c>
      <x:c r="U20" s="58" t="str">
        <x:f>IF(OR(A20="",E20="",P20="UNMAPPED",F20="",G20=0,AND(N20=FALSE,O20=FALSE,I20="")),"CHECK","OK")</x:f>
        <x:v>OK</x:v>
      </x:c>
      <x:c r="V20" s="58" t="str">
        <x:f>IF(COUNTIF($A$7:$A$29,A20)&gt;1,"DUPLICATE","OK")</x:f>
        <x:v>OK</x:v>
      </x:c>
      <x:c r="W20" s="58" t="n">
        <x:f>IF(AND(E20&lt;&gt;"Closed Won",E20&lt;&gt;"Closed Lost",F20=""),1,0)</x:f>
        <x:v>0</x:v>
      </x:c>
      <x:c r="X20" s="58" t="n">
        <x:f>IF(AND(E20&lt;&gt;"Closed Won",E20&lt;&gt;"Closed Lost",I20=""),1,0)</x:f>
        <x:v>0</x:v>
      </x:c>
      <x:c r="Y20" s="58" t="n">
        <x:f>IF(AND(E20&lt;&gt;"Closed Won",E20&lt;&gt;"Closed Lost",K20=""),1,0)</x:f>
        <x:v>0</x:v>
      </x:c>
    </x:row>
    <x:row r="21" ht="15" hidden="0" customHeight="1">
      <x:c r="A21" s="65" t="str">
        <x:v>D-1015</x:v>
      </x:c>
      <x:c r="B21" s="65" t="str">
        <x:v>Orchid Reopen</x:v>
      </x:c>
      <x:c r="C21" s="65" t="str">
        <x:v>Orchid Labs</x:v>
      </x:c>
      <x:c r="D21" s="65" t="str">
        <x:v>Sales Pipeline</x:v>
      </x:c>
      <x:c r="E21" s="65" t="str">
        <x:v>Qualified</x:v>
      </x:c>
      <x:c r="F21" s="65" t="str">
        <x:v>Deepa</x:v>
      </x:c>
      <x:c r="G21" s="70" t="n">
        <x:v>45000</x:v>
      </x:c>
      <x:c r="H21" s="69" t="n">
        <x:v>46152</x:v>
      </x:c>
      <x:c r="I21" s="69" t="n">
        <x:v>46323</x:v>
      </x:c>
      <x:c r="J21" s="69" t="n">
        <x:v>46270</x:v>
      </x:c>
      <x:c r="K21" s="69" t="n">
        <x:v>46290</x:v>
      </x:c>
      <x:c r="L21" s="65" t="str">
        <x:v>Pipeline</x:v>
      </x:c>
      <x:c r="M21" s="65" t="str">
        <x:v>New</x:v>
      </x:c>
      <x:c r="N21" s="88" t="b">
        <x:v>0</x:v>
      </x:c>
      <x:c r="O21" s="88" t="b">
        <x:v>0</x:v>
      </x:c>
      <x:c r="P21" s="58" t="n">
        <x:f>IFERROR(INDEX('STAGE MAP'!$B$7:$B$12,MATCH(E21,'STAGE MAP'!$A$7:$A$12,0)),"UNMAPPED")</x:f>
        <x:v>2</x:v>
      </x:c>
      <x:c r="Q21" s="80" t="n">
        <x:f>IFERROR(INDEX('STAGE MAP'!$C$7:$C$12,MATCH(E21,'STAGE MAP'!$A$7:$A$12,0)),0)</x:f>
        <x:v>0.25</x:v>
      </x:c>
      <x:c r="R21" s="79" t="n">
        <x:f>G21*Q21</x:f>
        <x:v>11250</x:v>
      </x:c>
      <x:c r="S21" s="58" t="n">
        <x:f>MAX(0,'START HERE'!$B$10-H21)</x:f>
        <x:v>134</x:v>
      </x:c>
      <x:c r="T21" s="58" t="n">
        <x:f>IF(J21="","n.a.",MAX(0,'START HERE'!$B$10-J21))</x:f>
        <x:v>16</x:v>
      </x:c>
      <x:c r="U21" s="58" t="str">
        <x:f>IF(OR(A21="",E21="",P21="UNMAPPED",F21="",G21=0,AND(N21=FALSE,O21=FALSE,I21="")),"CHECK","OK")</x:f>
        <x:v>OK</x:v>
      </x:c>
      <x:c r="V21" s="58" t="str">
        <x:f>IF(COUNTIF($A$7:$A$29,A21)&gt;1,"DUPLICATE","OK")</x:f>
        <x:v>OK</x:v>
      </x:c>
      <x:c r="W21" s="58" t="n">
        <x:f>IF(AND(E21&lt;&gt;"Closed Won",E21&lt;&gt;"Closed Lost",F21=""),1,0)</x:f>
        <x:v>0</x:v>
      </x:c>
      <x:c r="X21" s="58" t="n">
        <x:f>IF(AND(E21&lt;&gt;"Closed Won",E21&lt;&gt;"Closed Lost",I21=""),1,0)</x:f>
        <x:v>0</x:v>
      </x:c>
      <x:c r="Y21" s="58" t="n">
        <x:f>IF(AND(E21&lt;&gt;"Closed Won",E21&lt;&gt;"Closed Lost",K21=""),1,0)</x:f>
        <x:v>0</x:v>
      </x:c>
    </x:row>
    <x:row r="22" ht="15" hidden="0" customHeight="1">
      <x:c r="A22" s="65" t="str">
        <x:v>D-1016</x:v>
      </x:c>
      <x:c r="B22" s="65" t="str">
        <x:v>Pine Renewal</x:v>
      </x:c>
      <x:c r="C22" s="65" t="str">
        <x:v>Pine Systems</x:v>
      </x:c>
      <x:c r="D22" s="65" t="str">
        <x:v>Sales Pipeline</x:v>
      </x:c>
      <x:c r="E22" s="65" t="str">
        <x:v>Negotiation</x:v>
      </x:c>
      <x:c r="F22" s="65" t="str">
        <x:v>Eli</x:v>
      </x:c>
      <x:c r="G22" s="70" t="n">
        <x:v>105000</x:v>
      </x:c>
      <x:c r="H22" s="69" t="n">
        <x:v>46092</x:v>
      </x:c>
      <x:c r="I22" s="69" t="n">
        <x:v>46297</x:v>
      </x:c>
      <x:c r="J22" s="69" t="n">
        <x:v>46278</x:v>
      </x:c>
      <x:c r="K22" s="69" t="n">
        <x:v>46282</x:v>
      </x:c>
      <x:c r="L22" s="65" t="str">
        <x:v>Commit</x:v>
      </x:c>
      <x:c r="M22" s="65" t="str">
        <x:v>Renewal</x:v>
      </x:c>
      <x:c r="N22" s="88" t="b">
        <x:v>0</x:v>
      </x:c>
      <x:c r="O22" s="88" t="b">
        <x:v>0</x:v>
      </x:c>
      <x:c r="P22" s="58" t="n">
        <x:f>IFERROR(INDEX('STAGE MAP'!$B$7:$B$12,MATCH(E22,'STAGE MAP'!$A$7:$A$12,0)),"UNMAPPED")</x:f>
        <x:v>4</x:v>
      </x:c>
      <x:c r="Q22" s="80" t="n">
        <x:f>IFERROR(INDEX('STAGE MAP'!$C$7:$C$12,MATCH(E22,'STAGE MAP'!$A$7:$A$12,0)),0)</x:f>
        <x:v>0.75</x:v>
      </x:c>
      <x:c r="R22" s="79" t="n">
        <x:f>G22*Q22</x:f>
        <x:v>78750</x:v>
      </x:c>
      <x:c r="S22" s="58" t="n">
        <x:f>MAX(0,'START HERE'!$B$10-H22)</x:f>
        <x:v>194</x:v>
      </x:c>
      <x:c r="T22" s="58" t="n">
        <x:f>IF(J22="","n.a.",MAX(0,'START HERE'!$B$10-J22))</x:f>
        <x:v>8</x:v>
      </x:c>
      <x:c r="U22" s="58" t="str">
        <x:f>IF(OR(A22="",E22="",P22="UNMAPPED",F22="",G22=0,AND(N22=FALSE,O22=FALSE,I22="")),"CHECK","OK")</x:f>
        <x:v>OK</x:v>
      </x:c>
      <x:c r="V22" s="58" t="str">
        <x:f>IF(COUNTIF($A$7:$A$29,A22)&gt;1,"DUPLICATE","OK")</x:f>
        <x:v>OK</x:v>
      </x:c>
      <x:c r="W22" s="58" t="n">
        <x:f>IF(AND(E22&lt;&gt;"Closed Won",E22&lt;&gt;"Closed Lost",F22=""),1,0)</x:f>
        <x:v>0</x:v>
      </x:c>
      <x:c r="X22" s="58" t="n">
        <x:f>IF(AND(E22&lt;&gt;"Closed Won",E22&lt;&gt;"Closed Lost",I22=""),1,0)</x:f>
        <x:v>0</x:v>
      </x:c>
      <x:c r="Y22" s="58" t="n">
        <x:f>IF(AND(E22&lt;&gt;"Closed Won",E22&lt;&gt;"Closed Lost",K22=""),1,0)</x:f>
        <x:v>0</x:v>
      </x:c>
    </x:row>
    <x:row r="23" ht="15" hidden="0" customHeight="1">
      <x:c r="A23" s="65" t="str">
        <x:v>D-1018</x:v>
      </x:c>
      <x:c r="B23" s="65" t="str">
        <x:v>River Expansion</x:v>
      </x:c>
      <x:c r="C23" s="65" t="str">
        <x:v>River Group</x:v>
      </x:c>
      <x:c r="D23" s="65" t="str">
        <x:v>Sales Pipeline</x:v>
      </x:c>
      <x:c r="E23" s="65" t="str">
        <x:v>Evaluation</x:v>
      </x:c>
      <x:c r="F23" s="65" t="str">
        <x:v>Ben</x:v>
      </x:c>
      <x:c r="G23" s="70" t="n">
        <x:v>70000</x:v>
      </x:c>
      <x:c r="H23" s="69" t="n">
        <x:v>46211</x:v>
      </x:c>
      <x:c r="I23" s="69" t="n">
        <x:v>46315</x:v>
      </x:c>
      <x:c r="J23" s="69" t="n">
        <x:v>46275</x:v>
      </x:c>
      <x:c r="K23" s="69" t="n">
        <x:v>46283</x:v>
      </x:c>
      <x:c r="L23" s="65" t="str">
        <x:v>Best Case</x:v>
      </x:c>
      <x:c r="M23" s="65" t="str">
        <x:v>Expansion</x:v>
      </x:c>
      <x:c r="N23" s="88" t="b">
        <x:v>0</x:v>
      </x:c>
      <x:c r="O23" s="88" t="b">
        <x:v>0</x:v>
      </x:c>
      <x:c r="P23" s="58" t="n">
        <x:f>IFERROR(INDEX('STAGE MAP'!$B$7:$B$12,MATCH(E23,'STAGE MAP'!$A$7:$A$12,0)),"UNMAPPED")</x:f>
        <x:v>3</x:v>
      </x:c>
      <x:c r="Q23" s="80" t="n">
        <x:f>IFERROR(INDEX('STAGE MAP'!$C$7:$C$12,MATCH(E23,'STAGE MAP'!$A$7:$A$12,0)),0)</x:f>
        <x:v>0.5</x:v>
      </x:c>
      <x:c r="R23" s="79" t="n">
        <x:f>G23*Q23</x:f>
        <x:v>35000</x:v>
      </x:c>
      <x:c r="S23" s="58" t="n">
        <x:f>MAX(0,'START HERE'!$B$10-H23)</x:f>
        <x:v>75</x:v>
      </x:c>
      <x:c r="T23" s="58" t="n">
        <x:f>IF(J23="","n.a.",MAX(0,'START HERE'!$B$10-J23))</x:f>
        <x:v>11</x:v>
      </x:c>
      <x:c r="U23" s="58" t="str">
        <x:f>IF(OR(A23="",E23="",P23="UNMAPPED",F23="",G23=0,AND(N23=FALSE,O23=FALSE,I23="")),"CHECK","OK")</x:f>
        <x:v>OK</x:v>
      </x:c>
      <x:c r="V23" s="58" t="str">
        <x:f>IF(COUNTIF($A$7:$A$29,A23)&gt;1,"DUPLICATE","OK")</x:f>
        <x:v>OK</x:v>
      </x:c>
      <x:c r="W23" s="58" t="n">
        <x:f>IF(AND(E23&lt;&gt;"Closed Won",E23&lt;&gt;"Closed Lost",F23=""),1,0)</x:f>
        <x:v>0</x:v>
      </x:c>
      <x:c r="X23" s="58" t="n">
        <x:f>IF(AND(E23&lt;&gt;"Closed Won",E23&lt;&gt;"Closed Lost",I23=""),1,0)</x:f>
        <x:v>0</x:v>
      </x:c>
      <x:c r="Y23" s="58" t="n">
        <x:f>IF(AND(E23&lt;&gt;"Closed Won",E23&lt;&gt;"Closed Lost",K23=""),1,0)</x:f>
        <x:v>0</x:v>
      </x:c>
    </x:row>
    <x:row r="24" ht="15" hidden="0" customHeight="1">
      <x:c r="A24" s="65" t="str">
        <x:v>D-1019</x:v>
      </x:c>
      <x:c r="B24" s="65" t="str">
        <x:v>Summit Plan</x:v>
      </x:c>
      <x:c r="C24" s="65" t="str">
        <x:v>Summit Labs</x:v>
      </x:c>
      <x:c r="D24" s="65" t="str">
        <x:v>Sales Pipeline</x:v>
      </x:c>
      <x:c r="E24" s="65" t="str">
        <x:v>Qualified</x:v>
      </x:c>
      <x:c r="F24" s="65" t="str">
        <x:v>Chen</x:v>
      </x:c>
      <x:c r="G24" s="70" t="n">
        <x:v>60000</x:v>
      </x:c>
      <x:c r="H24" s="69" t="n">
        <x:v>46245</x:v>
      </x:c>
      <x:c r="I24" s="69" t="n">
        <x:v>46331</x:v>
      </x:c>
      <x:c r="J24" s="69" t="n">
        <x:v>46277</x:v>
      </x:c>
      <x:c r="K24" s="69" t="n">
        <x:v>46286</x:v>
      </x:c>
      <x:c r="L24" s="65" t="str">
        <x:v>Pipeline</x:v>
      </x:c>
      <x:c r="M24" s="65" t="str">
        <x:v>New</x:v>
      </x:c>
      <x:c r="N24" s="88" t="b">
        <x:v>0</x:v>
      </x:c>
      <x:c r="O24" s="88" t="b">
        <x:v>0</x:v>
      </x:c>
      <x:c r="P24" s="58" t="n">
        <x:f>IFERROR(INDEX('STAGE MAP'!$B$7:$B$12,MATCH(E24,'STAGE MAP'!$A$7:$A$12,0)),"UNMAPPED")</x:f>
        <x:v>2</x:v>
      </x:c>
      <x:c r="Q24" s="80" t="n">
        <x:f>IFERROR(INDEX('STAGE MAP'!$C$7:$C$12,MATCH(E24,'STAGE MAP'!$A$7:$A$12,0)),0)</x:f>
        <x:v>0.25</x:v>
      </x:c>
      <x:c r="R24" s="79" t="n">
        <x:f>G24*Q24</x:f>
        <x:v>15000</x:v>
      </x:c>
      <x:c r="S24" s="58" t="n">
        <x:f>MAX(0,'START HERE'!$B$10-H24)</x:f>
        <x:v>41</x:v>
      </x:c>
      <x:c r="T24" s="58" t="n">
        <x:f>IF(J24="","n.a.",MAX(0,'START HERE'!$B$10-J24))</x:f>
        <x:v>9</x:v>
      </x:c>
      <x:c r="U24" s="58" t="str">
        <x:f>IF(OR(A24="",E24="",P24="UNMAPPED",F24="",G24=0,AND(N24=FALSE,O24=FALSE,I24="")),"CHECK","OK")</x:f>
        <x:v>OK</x:v>
      </x:c>
      <x:c r="V24" s="58" t="str">
        <x:f>IF(COUNTIF($A$7:$A$29,A24)&gt;1,"DUPLICATE","OK")</x:f>
        <x:v>OK</x:v>
      </x:c>
      <x:c r="W24" s="58" t="n">
        <x:f>IF(AND(E24&lt;&gt;"Closed Won",E24&lt;&gt;"Closed Lost",F24=""),1,0)</x:f>
        <x:v>0</x:v>
      </x:c>
      <x:c r="X24" s="58" t="n">
        <x:f>IF(AND(E24&lt;&gt;"Closed Won",E24&lt;&gt;"Closed Lost",I24=""),1,0)</x:f>
        <x:v>0</x:v>
      </x:c>
      <x:c r="Y24" s="58" t="n">
        <x:f>IF(AND(E24&lt;&gt;"Closed Won",E24&lt;&gt;"Closed Lost",K24=""),1,0)</x:f>
        <x:v>0</x:v>
      </x:c>
    </x:row>
    <x:row r="25" ht="15" hidden="0" customHeight="1">
      <x:c r="A25" s="65" t="str">
        <x:v>D-1020</x:v>
      </x:c>
      <x:c r="B25" s="65" t="str">
        <x:v>Timber Annual</x:v>
      </x:c>
      <x:c r="C25" s="65" t="str">
        <x:v>Timber PLC</x:v>
      </x:c>
      <x:c r="D25" s="65" t="str">
        <x:v>Sales Pipeline</x:v>
      </x:c>
      <x:c r="E25" s="65" t="str">
        <x:v>Negotiation</x:v>
      </x:c>
      <x:c r="F25" s="65" t="str">
        <x:v>Deepa</x:v>
      </x:c>
      <x:c r="G25" s="70" t="n">
        <x:v>115000</x:v>
      </x:c>
      <x:c r="H25" s="69" t="n">
        <x:v>46144</x:v>
      </x:c>
      <x:c r="I25" s="69" t="n">
        <x:v>46296</x:v>
      </x:c>
      <x:c r="J25" s="69" t="n">
        <x:v>46278</x:v>
      </x:c>
      <x:c r="K25" s="69" t="n">
        <x:v>46281</x:v>
      </x:c>
      <x:c r="L25" s="65" t="str">
        <x:v>Commit</x:v>
      </x:c>
      <x:c r="M25" s="65" t="str">
        <x:v>New</x:v>
      </x:c>
      <x:c r="N25" s="88" t="b">
        <x:v>0</x:v>
      </x:c>
      <x:c r="O25" s="88" t="b">
        <x:v>0</x:v>
      </x:c>
      <x:c r="P25" s="58" t="n">
        <x:f>IFERROR(INDEX('STAGE MAP'!$B$7:$B$12,MATCH(E25,'STAGE MAP'!$A$7:$A$12,0)),"UNMAPPED")</x:f>
        <x:v>4</x:v>
      </x:c>
      <x:c r="Q25" s="80" t="n">
        <x:f>IFERROR(INDEX('STAGE MAP'!$C$7:$C$12,MATCH(E25,'STAGE MAP'!$A$7:$A$12,0)),0)</x:f>
        <x:v>0.75</x:v>
      </x:c>
      <x:c r="R25" s="79" t="n">
        <x:f>G25*Q25</x:f>
        <x:v>86250</x:v>
      </x:c>
      <x:c r="S25" s="58" t="n">
        <x:f>MAX(0,'START HERE'!$B$10-H25)</x:f>
        <x:v>142</x:v>
      </x:c>
      <x:c r="T25" s="58" t="n">
        <x:f>IF(J25="","n.a.",MAX(0,'START HERE'!$B$10-J25))</x:f>
        <x:v>8</x:v>
      </x:c>
      <x:c r="U25" s="58" t="str">
        <x:f>IF(OR(A25="",E25="",P25="UNMAPPED",F25="",G25=0,AND(N25=FALSE,O25=FALSE,I25="")),"CHECK","OK")</x:f>
        <x:v>OK</x:v>
      </x:c>
      <x:c r="V25" s="58" t="str">
        <x:f>IF(COUNTIF($A$7:$A$29,A25)&gt;1,"DUPLICATE","OK")</x:f>
        <x:v>OK</x:v>
      </x:c>
      <x:c r="W25" s="58" t="n">
        <x:f>IF(AND(E25&lt;&gt;"Closed Won",E25&lt;&gt;"Closed Lost",F25=""),1,0)</x:f>
        <x:v>0</x:v>
      </x:c>
      <x:c r="X25" s="58" t="n">
        <x:f>IF(AND(E25&lt;&gt;"Closed Won",E25&lt;&gt;"Closed Lost",I25=""),1,0)</x:f>
        <x:v>0</x:v>
      </x:c>
      <x:c r="Y25" s="58" t="n">
        <x:f>IF(AND(E25&lt;&gt;"Closed Won",E25&lt;&gt;"Closed Lost",K25=""),1,0)</x:f>
        <x:v>0</x:v>
      </x:c>
    </x:row>
    <x:row r="26" ht="15" hidden="0" customHeight="1">
      <x:c r="A26" s="65" t="str">
        <x:v>D-1021</x:v>
      </x:c>
      <x:c r="B26" s="65" t="str">
        <x:v>Union Discovery</x:v>
      </x:c>
      <x:c r="C26" s="65" t="str">
        <x:v>Union Works</x:v>
      </x:c>
      <x:c r="D26" s="65" t="str">
        <x:v>Sales Pipeline</x:v>
      </x:c>
      <x:c r="E26" s="65" t="str">
        <x:v>Discovery</x:v>
      </x:c>
      <x:c r="F26" s="65" t="str">
        <x:v>Eli</x:v>
      </x:c>
      <x:c r="G26" s="70" t="n">
        <x:v>0</x:v>
      </x:c>
      <x:c r="H26" s="69" t="n">
        <x:v>46273</x:v>
      </x:c>
      <x:c r="I26" s="69" t="n">
        <x:v>46346</x:v>
      </x:c>
      <x:c r="J26" s="69" t="n">
        <x:v>46275</x:v>
      </x:c>
      <x:c r="K26" s="69" t="n">
        <x:v>46288</x:v>
      </x:c>
      <x:c r="L26" s="65" t="str">
        <x:v>Pipeline</x:v>
      </x:c>
      <x:c r="M26" s="65" t="str">
        <x:v>New</x:v>
      </x:c>
      <x:c r="N26" s="88" t="b">
        <x:v>0</x:v>
      </x:c>
      <x:c r="O26" s="88" t="b">
        <x:v>0</x:v>
      </x:c>
      <x:c r="P26" s="58" t="n">
        <x:f>IFERROR(INDEX('STAGE MAP'!$B$7:$B$12,MATCH(E26,'STAGE MAP'!$A$7:$A$12,0)),"UNMAPPED")</x:f>
        <x:v>1</x:v>
      </x:c>
      <x:c r="Q26" s="80" t="n">
        <x:f>IFERROR(INDEX('STAGE MAP'!$C$7:$C$12,MATCH(E26,'STAGE MAP'!$A$7:$A$12,0)),0)</x:f>
        <x:v>0.1</x:v>
      </x:c>
      <x:c r="R26" s="79" t="n">
        <x:f>G26*Q26</x:f>
        <x:v>0</x:v>
      </x:c>
      <x:c r="S26" s="58" t="n">
        <x:f>MAX(0,'START HERE'!$B$10-H26)</x:f>
        <x:v>13</x:v>
      </x:c>
      <x:c r="T26" s="58" t="n">
        <x:f>IF(J26="","n.a.",MAX(0,'START HERE'!$B$10-J26))</x:f>
        <x:v>11</x:v>
      </x:c>
      <x:c r="U26" s="58" t="str">
        <x:f>IF(OR(A26="",E26="",P26="UNMAPPED",F26="",G26=0,AND(N26=FALSE,O26=FALSE,I26="")),"CHECK","OK")</x:f>
        <x:v>CHECK</x:v>
      </x:c>
      <x:c r="V26" s="58" t="str">
        <x:f>IF(COUNTIF($A$7:$A$29,A26)&gt;1,"DUPLICATE","OK")</x:f>
        <x:v>OK</x:v>
      </x:c>
      <x:c r="W26" s="58" t="n">
        <x:f>IF(AND(E26&lt;&gt;"Closed Won",E26&lt;&gt;"Closed Lost",F26=""),1,0)</x:f>
        <x:v>0</x:v>
      </x:c>
      <x:c r="X26" s="58" t="n">
        <x:f>IF(AND(E26&lt;&gt;"Closed Won",E26&lt;&gt;"Closed Lost",I26=""),1,0)</x:f>
        <x:v>0</x:v>
      </x:c>
      <x:c r="Y26" s="58" t="n">
        <x:f>IF(AND(E26&lt;&gt;"Closed Won",E26&lt;&gt;"Closed Lost",K26=""),1,0)</x:f>
        <x:v>0</x:v>
      </x:c>
    </x:row>
    <x:row r="27" ht="15" hidden="0" customHeight="1">
      <x:c r="A27" s="65" t="str">
        <x:v>D-1022</x:v>
      </x:c>
      <x:c r="B27" s="65" t="str">
        <x:v>Vale Platform</x:v>
      </x:c>
      <x:c r="C27" s="65" t="str">
        <x:v>Vale Health</x:v>
      </x:c>
      <x:c r="D27" s="65" t="str">
        <x:v>Sales Pipeline</x:v>
      </x:c>
      <x:c r="E27" s="65" t="str">
        <x:v>Evaluation</x:v>
      </x:c>
      <x:c r="F27" s="65" t="str">
        <x:v>Amara</x:v>
      </x:c>
      <x:c r="G27" s="70" t="n">
        <x:v>75000</x:v>
      </x:c>
      <x:c r="H27" s="69" t="n">
        <x:v>46229</x:v>
      </x:c>
      <x:c r="I27" s="69" t="n">
        <x:v>46313</x:v>
      </x:c>
      <x:c r="J27" s="69" t="n">
        <x:v>46276</x:v>
      </x:c>
      <x:c r="K27" s="69" t="n">
        <x:v>46285</x:v>
      </x:c>
      <x:c r="L27" s="65" t="str">
        <x:v>Best Case</x:v>
      </x:c>
      <x:c r="M27" s="65" t="str">
        <x:v>New</x:v>
      </x:c>
      <x:c r="N27" s="88" t="b">
        <x:v>0</x:v>
      </x:c>
      <x:c r="O27" s="88" t="b">
        <x:v>0</x:v>
      </x:c>
      <x:c r="P27" s="58" t="n">
        <x:f>IFERROR(INDEX('STAGE MAP'!$B$7:$B$12,MATCH(E27,'STAGE MAP'!$A$7:$A$12,0)),"UNMAPPED")</x:f>
        <x:v>3</x:v>
      </x:c>
      <x:c r="Q27" s="80" t="n">
        <x:f>IFERROR(INDEX('STAGE MAP'!$C$7:$C$12,MATCH(E27,'STAGE MAP'!$A$7:$A$12,0)),0)</x:f>
        <x:v>0.5</x:v>
      </x:c>
      <x:c r="R27" s="79" t="n">
        <x:f>G27*Q27</x:f>
        <x:v>37500</x:v>
      </x:c>
      <x:c r="S27" s="58" t="n">
        <x:f>MAX(0,'START HERE'!$B$10-H27)</x:f>
        <x:v>57</x:v>
      </x:c>
      <x:c r="T27" s="58" t="n">
        <x:f>IF(J27="","n.a.",MAX(0,'START HERE'!$B$10-J27))</x:f>
        <x:v>10</x:v>
      </x:c>
      <x:c r="U27" s="58" t="str">
        <x:f>IF(OR(A27="",E27="",P27="UNMAPPED",F27="",G27=0,AND(N27=FALSE,O27=FALSE,I27="")),"CHECK","OK")</x:f>
        <x:v>OK</x:v>
      </x:c>
      <x:c r="V27" s="58" t="str">
        <x:f>IF(COUNTIF($A$7:$A$29,A27)&gt;1,"DUPLICATE","OK")</x:f>
        <x:v>OK</x:v>
      </x:c>
      <x:c r="W27" s="58" t="n">
        <x:f>IF(AND(E27&lt;&gt;"Closed Won",E27&lt;&gt;"Closed Lost",F27=""),1,0)</x:f>
        <x:v>0</x:v>
      </x:c>
      <x:c r="X27" s="58" t="n">
        <x:f>IF(AND(E27&lt;&gt;"Closed Won",E27&lt;&gt;"Closed Lost",I27=""),1,0)</x:f>
        <x:v>0</x:v>
      </x:c>
      <x:c r="Y27" s="58" t="n">
        <x:f>IF(AND(E27&lt;&gt;"Closed Won",E27&lt;&gt;"Closed Lost",K27=""),1,0)</x:f>
        <x:v>0</x:v>
      </x:c>
    </x:row>
    <x:row r="28" ht="15" hidden="0" customHeight="1">
      <x:c r="A28" s="65" t="str">
        <x:v>D-1023</x:v>
      </x:c>
      <x:c r="B28" s="65" t="str">
        <x:v>Willow Launch</x:v>
      </x:c>
      <x:c r="C28" s="65" t="str">
        <x:v>Willow Co</x:v>
      </x:c>
      <x:c r="D28" s="65" t="str">
        <x:v>Sales Pipeline</x:v>
      </x:c>
      <x:c r="E28" s="65" t="str">
        <x:v>Qualified</x:v>
      </x:c>
      <x:c r="F28" s="65" t="str">
        <x:v>Ben</x:v>
      </x:c>
      <x:c r="G28" s="70" t="n">
        <x:v>88000</x:v>
      </x:c>
      <x:c r="H28" s="69" t="n">
        <x:v>46282</x:v>
      </x:c>
      <x:c r="I28" s="69" t="n">
        <x:v>46336</x:v>
      </x:c>
      <x:c r="J28" s="69" t="n">
        <x:v>46285</x:v>
      </x:c>
      <x:c r="K28" s="69" t="n">
        <x:v>46290</x:v>
      </x:c>
      <x:c r="L28" s="65" t="str">
        <x:v>Pipeline</x:v>
      </x:c>
      <x:c r="M28" s="65" t="str">
        <x:v>New</x:v>
      </x:c>
      <x:c r="N28" s="88" t="b">
        <x:v>0</x:v>
      </x:c>
      <x:c r="O28" s="88" t="b">
        <x:v>0</x:v>
      </x:c>
      <x:c r="P28" s="58" t="n">
        <x:f>IFERROR(INDEX('STAGE MAP'!$B$7:$B$12,MATCH(E28,'STAGE MAP'!$A$7:$A$12,0)),"UNMAPPED")</x:f>
        <x:v>2</x:v>
      </x:c>
      <x:c r="Q28" s="80" t="n">
        <x:f>IFERROR(INDEX('STAGE MAP'!$C$7:$C$12,MATCH(E28,'STAGE MAP'!$A$7:$A$12,0)),0)</x:f>
        <x:v>0.25</x:v>
      </x:c>
      <x:c r="R28" s="79" t="n">
        <x:f>G28*Q28</x:f>
        <x:v>22000</x:v>
      </x:c>
      <x:c r="S28" s="58" t="n">
        <x:f>MAX(0,'START HERE'!$B$10-H28)</x:f>
        <x:v>4</x:v>
      </x:c>
      <x:c r="T28" s="58" t="n">
        <x:f>IF(J28="","n.a.",MAX(0,'START HERE'!$B$10-J28))</x:f>
        <x:v>1</x:v>
      </x:c>
      <x:c r="U28" s="58" t="str">
        <x:f>IF(OR(A28="",E28="",P28="UNMAPPED",F28="",G28=0,AND(N28=FALSE,O28=FALSE,I28="")),"CHECK","OK")</x:f>
        <x:v>OK</x:v>
      </x:c>
      <x:c r="V28" s="58" t="str">
        <x:f>IF(COUNTIF($A$7:$A$29,A28)&gt;1,"DUPLICATE","OK")</x:f>
        <x:v>OK</x:v>
      </x:c>
      <x:c r="W28" s="58" t="n">
        <x:f>IF(AND(E28&lt;&gt;"Closed Won",E28&lt;&gt;"Closed Lost",F28=""),1,0)</x:f>
        <x:v>0</x:v>
      </x:c>
      <x:c r="X28" s="58" t="n">
        <x:f>IF(AND(E28&lt;&gt;"Closed Won",E28&lt;&gt;"Closed Lost",I28=""),1,0)</x:f>
        <x:v>0</x:v>
      </x:c>
      <x:c r="Y28" s="58" t="n">
        <x:f>IF(AND(E28&lt;&gt;"Closed Won",E28&lt;&gt;"Closed Lost",K28=""),1,0)</x:f>
        <x:v>0</x:v>
      </x:c>
    </x:row>
    <x:row r="29" ht="15" hidden="0" customHeight="1">
      <x:c r="A29" s="65" t="str">
        <x:v>D-1024</x:v>
      </x:c>
      <x:c r="B29" s="65" t="str">
        <x:v>Zenith Pilot</x:v>
      </x:c>
      <x:c r="C29" s="65" t="str">
        <x:v>Zenith AI</x:v>
      </x:c>
      <x:c r="D29" s="65" t="str">
        <x:v>Sales Pipeline</x:v>
      </x:c>
      <x:c r="E29" s="65" t="str">
        <x:v>Discovery</x:v>
      </x:c>
      <x:c r="F29" s="65" t="str">
        <x:v>Chen</x:v>
      </x:c>
      <x:c r="G29" s="70" t="n">
        <x:v>52000</x:v>
      </x:c>
      <x:c r="H29" s="69" t="n">
        <x:v>46283</x:v>
      </x:c>
      <x:c r="I29" s="69" t="n">
        <x:v>46356</x:v>
      </x:c>
      <x:c r="J29" s="69" t="n">
        <x:v>46283</x:v>
      </x:c>
      <x:c r="K29" s="69" t="n">
        <x:v>46291</x:v>
      </x:c>
      <x:c r="L29" s="65" t="str">
        <x:v>Pipeline</x:v>
      </x:c>
      <x:c r="M29" s="65" t="str">
        <x:v>New</x:v>
      </x:c>
      <x:c r="N29" s="88" t="b">
        <x:v>0</x:v>
      </x:c>
      <x:c r="O29" s="88" t="b">
        <x:v>0</x:v>
      </x:c>
      <x:c r="P29" s="58" t="n">
        <x:f>IFERROR(INDEX('STAGE MAP'!$B$7:$B$12,MATCH(E29,'STAGE MAP'!$A$7:$A$12,0)),"UNMAPPED")</x:f>
        <x:v>1</x:v>
      </x:c>
      <x:c r="Q29" s="80" t="n">
        <x:f>IFERROR(INDEX('STAGE MAP'!$C$7:$C$12,MATCH(E29,'STAGE MAP'!$A$7:$A$12,0)),0)</x:f>
        <x:v>0.1</x:v>
      </x:c>
      <x:c r="R29" s="79" t="n">
        <x:f>G29*Q29</x:f>
        <x:v>5200</x:v>
      </x:c>
      <x:c r="S29" s="58" t="n">
        <x:f>MAX(0,'START HERE'!$B$10-H29)</x:f>
        <x:v>3</x:v>
      </x:c>
      <x:c r="T29" s="58" t="n">
        <x:f>IF(J29="","n.a.",MAX(0,'START HERE'!$B$10-J29))</x:f>
        <x:v>3</x:v>
      </x:c>
      <x:c r="U29" s="58" t="str">
        <x:f>IF(OR(A29="",E29="",P29="UNMAPPED",F29="",G29=0,AND(N29=FALSE,O29=FALSE,I29="")),"CHECK","OK")</x:f>
        <x:v>OK</x:v>
      </x:c>
      <x:c r="V29" s="58" t="str">
        <x:f>IF(COUNTIF($A$7:$A$29,A29)&gt;1,"DUPLICATE","OK")</x:f>
        <x:v>OK</x:v>
      </x:c>
      <x:c r="W29" s="58" t="n">
        <x:f>IF(AND(E29&lt;&gt;"Closed Won",E29&lt;&gt;"Closed Lost",F29=""),1,0)</x:f>
        <x:v>0</x:v>
      </x:c>
      <x:c r="X29" s="58" t="n">
        <x:f>IF(AND(E29&lt;&gt;"Closed Won",E29&lt;&gt;"Closed Lost",I29=""),1,0)</x:f>
        <x:v>0</x:v>
      </x:c>
      <x:c r="Y29" s="58" t="n">
        <x:f>IF(AND(E29&lt;&gt;"Closed Won",E29&lt;&gt;"Closed Lost",K29=""),1,0)</x:f>
        <x:v>0</x:v>
      </x:c>
    </x:row>
  </x:sheetData>
  <x:mergeCells>
    <x:mergeCell ref="A2:U2"/>
    <x:mergeCell ref="A3:U3"/>
  </x:mergeCells>
  <x:conditionalFormatting sqref="U7:U29">
    <x:cfRule type="containsText" dxfId="0" priority="1" operator="containsText" text="CHECK"/>
  </x:conditionalFormatting>
  <x:conditionalFormatting sqref="V7:V29">
    <x:cfRule type="containsText" dxfId="1" priority="2" operator="containsText" text="DUPLICATE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DCEAF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10" hidden="0" customWidth="1"/>
    <x:col min="3" max="3" width="14" hidden="0" customWidth="1"/>
    <x:col min="4" max="4" width="14" hidden="0" customWidth="1"/>
    <x:col min="5" max="5" width="20" hidden="0" customWidth="1"/>
    <x:col min="6" max="6" width="3" hidden="0" customWidth="1"/>
    <x:col min="7" max="7" width="18" hidden="0" customWidth="1"/>
    <x:col min="8" max="8" width="48" hidden="0" customWidth="1"/>
    <x:col min="9" max="9" width="12" hidden="0" customWidth="1"/>
    <x:col min="10" max="10" width="12" hidden="0" customWidth="1"/>
  </x:cols>
  <x:sheetData>
    <x:row r="2" ht="18" hidden="0" customHeight="1">
      <x:c r="A2" s="57" t="str">
        <x:v>Stage map</x:v>
      </x:c>
      <x:c r="B2" s="58"/>
      <x:c r="C2" s="58"/>
      <x:c r="D2" s="58"/>
      <x:c r="E2" s="58"/>
      <x:c r="F2" s="58"/>
      <x:c r="G2" s="58"/>
      <x:c r="H2" s="58"/>
      <x:c r="I2" s="58"/>
      <x:c r="J2" s="58"/>
    </x:row>
    <x:row r="3" ht="15" hidden="0" customHeight="1">
      <x:c r="A3" s="59" t="str">
        <x:v>Map company-specific deal stages before using pipeline calculations.</x:v>
      </x:c>
      <x:c r="B3" s="58"/>
      <x:c r="C3" s="58"/>
      <x:c r="D3" s="58"/>
      <x:c r="E3" s="58"/>
      <x:c r="F3" s="58"/>
      <x:c r="G3" s="58"/>
      <x:c r="H3" s="58"/>
      <x:c r="I3" s="58"/>
      <x:c r="J3" s="58"/>
    </x:row>
    <x:row r="4" ht="15" hidden="0" customHeight="1">
      <x:c r="A4" s="60"/>
      <x:c r="B4" s="60"/>
      <x:c r="C4" s="60"/>
      <x:c r="D4" s="60"/>
      <x:c r="E4" s="60"/>
      <x:c r="F4" s="60"/>
      <x:c r="G4" s="58"/>
      <x:c r="H4" s="58"/>
      <x:c r="I4" s="58"/>
      <x:c r="J4" s="58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  <x:c r="J5" s="58"/>
    </x:row>
    <x:row r="6" ht="15" hidden="0" customHeight="1">
      <x:c r="A6" s="66" t="str">
        <x:v>Stage</x:v>
      </x:c>
      <x:c r="B6" s="67" t="str">
        <x:v>Order</x:v>
      </x:c>
      <x:c r="C6" s="67" t="str">
        <x:v>Probability</x:v>
      </x:c>
      <x:c r="D6" s="67" t="str">
        <x:v>Category</x:v>
      </x:c>
      <x:c r="E6" s="68" t="str">
        <x:v>Max days in stage</x:v>
      </x:c>
      <x:c r="F6" s="58"/>
      <x:c r="G6" s="61" t="str">
        <x:v>Rules</x:v>
      </x:c>
      <x:c r="H6" s="62"/>
      <x:c r="I6" s="62"/>
      <x:c r="J6" s="63"/>
    </x:row>
    <x:row r="7" ht="15" hidden="0" customHeight="1">
      <x:c r="A7" s="65" t="str">
        <x:v>Discovery</x:v>
      </x:c>
      <x:c r="B7" s="65" t="n">
        <x:v>1</x:v>
      </x:c>
      <x:c r="C7" s="90" t="n">
        <x:v>0.1</x:v>
      </x:c>
      <x:c r="D7" s="65" t="str">
        <x:v>Open</x:v>
      </x:c>
      <x:c r="E7" s="65" t="n">
        <x:v>30</x:v>
      </x:c>
      <x:c r="F7" s="58"/>
      <x:c r="G7" s="58" t="str">
        <x:v>Order</x:v>
      </x:c>
      <x:c r="H7" s="58" t="str">
        <x:v>Must increase from earliest to latest open stage</x:v>
      </x:c>
      <x:c r="I7" s="58"/>
      <x:c r="J7" s="58"/>
    </x:row>
    <x:row r="8" ht="15" hidden="0" customHeight="1">
      <x:c r="A8" s="65" t="str">
        <x:v>Qualified</x:v>
      </x:c>
      <x:c r="B8" s="65" t="n">
        <x:v>2</x:v>
      </x:c>
      <x:c r="C8" s="90" t="n">
        <x:v>0.25</x:v>
      </x:c>
      <x:c r="D8" s="65" t="str">
        <x:v>Open</x:v>
      </x:c>
      <x:c r="E8" s="65" t="n">
        <x:v>28</x:v>
      </x:c>
      <x:c r="F8" s="58"/>
      <x:c r="G8" s="58" t="str">
        <x:v>Probability</x:v>
      </x:c>
      <x:c r="H8" s="58" t="str">
        <x:v>Planning assumption only; not a claim of forecast accuracy</x:v>
      </x:c>
      <x:c r="I8" s="58"/>
      <x:c r="J8" s="58"/>
    </x:row>
    <x:row r="9" ht="15" hidden="0" customHeight="1">
      <x:c r="A9" s="65" t="str">
        <x:v>Evaluation</x:v>
      </x:c>
      <x:c r="B9" s="65" t="n">
        <x:v>3</x:v>
      </x:c>
      <x:c r="C9" s="90" t="n">
        <x:v>0.5</x:v>
      </x:c>
      <x:c r="D9" s="65" t="str">
        <x:v>Open</x:v>
      </x:c>
      <x:c r="E9" s="65" t="n">
        <x:v>35</x:v>
      </x:c>
      <x:c r="F9" s="58"/>
      <x:c r="G9" s="58" t="str">
        <x:v>Category</x:v>
      </x:c>
      <x:c r="H9" s="58" t="str">
        <x:v>Use Open, Won, or Lost</x:v>
      </x:c>
      <x:c r="I9" s="58"/>
      <x:c r="J9" s="58"/>
    </x:row>
    <x:row r="10" ht="15" hidden="0" customHeight="1">
      <x:c r="A10" s="65" t="str">
        <x:v>Negotiation</x:v>
      </x:c>
      <x:c r="B10" s="65" t="n">
        <x:v>4</x:v>
      </x:c>
      <x:c r="C10" s="90" t="n">
        <x:v>0.75</x:v>
      </x:c>
      <x:c r="D10" s="65" t="str">
        <x:v>Open</x:v>
      </x:c>
      <x:c r="E10" s="65" t="n">
        <x:v>21</x:v>
      </x:c>
      <x:c r="F10" s="58"/>
      <x:c r="G10" s="58" t="str">
        <x:v>Closed stages</x:v>
      </x:c>
      <x:c r="H10" s="58" t="str">
        <x:v>Won and Lost must not contribute to open pipeline</x:v>
      </x:c>
      <x:c r="I10" s="58"/>
      <x:c r="J10" s="58"/>
    </x:row>
    <x:row r="11" ht="15" hidden="0" customHeight="1">
      <x:c r="A11" s="65" t="str">
        <x:v>Closed Won</x:v>
      </x:c>
      <x:c r="B11" s="65" t="n">
        <x:v>5</x:v>
      </x:c>
      <x:c r="C11" s="90" t="n">
        <x:v>1</x:v>
      </x:c>
      <x:c r="D11" s="65" t="str">
        <x:v>Won</x:v>
      </x:c>
      <x:c r="E11" s="65" t="n">
        <x:v>0</x:v>
      </x:c>
      <x:c r="F11" s="58"/>
      <x:c r="G11" s="58"/>
      <x:c r="H11" s="58"/>
      <x:c r="I11" s="58"/>
      <x:c r="J11" s="58"/>
    </x:row>
    <x:row r="12" ht="15" hidden="0" customHeight="1">
      <x:c r="A12" s="65" t="str">
        <x:v>Closed Lost</x:v>
      </x:c>
      <x:c r="B12" s="65" t="n">
        <x:v>5</x:v>
      </x:c>
      <x:c r="C12" s="90" t="n">
        <x:v>0</x:v>
      </x:c>
      <x:c r="D12" s="65" t="str">
        <x:v>Lost</x:v>
      </x:c>
      <x:c r="E12" s="65" t="n">
        <x:v>0</x:v>
      </x:c>
      <x:c r="F12" s="58"/>
      <x:c r="G12" s="58"/>
      <x:c r="H12" s="58"/>
      <x:c r="I12" s="58"/>
      <x:c r="J12" s="58"/>
    </x:row>
  </x:sheetData>
  <x:mergeCells>
    <x:mergeCell ref="A2:F2"/>
    <x:mergeCell ref="A3:F3"/>
    <x:mergeCell ref="G6:J6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DCEAF8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4" hidden="0" customWidth="1"/>
    <x:col min="2" max="2" width="14" hidden="0" customWidth="1"/>
    <x:col min="3" max="3" width="13" hidden="0" customWidth="1"/>
    <x:col min="4" max="4" width="22" hidden="0" customWidth="1"/>
    <x:col min="5" max="5" width="20" hidden="0" customWidth="1"/>
    <x:col min="6" max="6" width="13" hidden="0" customWidth="1"/>
    <x:col min="7" max="7" width="17" hidden="0" customWidth="1"/>
    <x:col min="8" max="8" width="14" hidden="0" customWidth="1"/>
    <x:col min="9" max="9" width="13" hidden="0" customWidth="1"/>
    <x:col min="10" max="10" width="16" hidden="0" customWidth="1"/>
    <x:col min="11" max="11" width="16" hidden="0" customWidth="1"/>
    <x:col min="12" max="12" width="17" hidden="0" customWidth="1"/>
    <x:col min="13" max="13" width="13" hidden="0" customWidth="1"/>
    <x:col min="14" max="14" width="13" hidden="0" customWidth="1"/>
    <x:col min="15" max="15" width="12" hidden="0" customWidth="1"/>
    <x:col min="16" max="16" width="14" hidden="0" customWidth="1"/>
    <x:col min="17" max="17" width="16" hidden="0" customWidth="1"/>
  </x:cols>
  <x:sheetData>
    <x:row r="2" ht="18" hidden="0" customHeight="1">
      <x:c r="A2" s="57" t="str">
        <x:v>Weekly snapshots</x:v>
      </x:c>
      <x:c r="B2" s="58"/>
      <x:c r="C2" s="58"/>
      <x:c r="D2" s="58"/>
      <x:c r="E2" s="58"/>
      <x:c r="F2" s="58"/>
      <x:c r="G2" s="58"/>
      <x:c r="H2" s="58"/>
      <x:c r="I2" s="58"/>
      <x:c r="J2" s="58"/>
      <x:c r="K2" s="58"/>
      <x:c r="L2" s="58"/>
      <x:c r="M2" s="58"/>
      <x:c r="N2" s="58"/>
      <x:c r="O2" s="58"/>
      <x:c r="P2" s="58"/>
      <x:c r="Q2" s="58"/>
    </x:row>
    <x:row r="3" ht="15" hidden="0" customHeight="1">
      <x:c r="A3" s="59" t="str">
        <x:v>Append, never overwrite. Every row represents one deal at one fixed reporting cutoff.</x:v>
      </x:c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  <x:c r="J4" s="60"/>
      <x:c r="K4" s="60"/>
      <x:c r="L4" s="60"/>
      <x:c r="M4" s="60"/>
      <x:c r="N4" s="60"/>
      <x:c r="O4" s="60"/>
      <x:c r="P4" s="60"/>
      <x:c r="Q4" s="60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  <x:c r="J5" s="58"/>
      <x:c r="K5" s="58"/>
      <x:c r="L5" s="58"/>
      <x:c r="M5" s="58"/>
      <x:c r="N5" s="58"/>
      <x:c r="O5" s="58"/>
      <x:c r="P5" s="58"/>
      <x:c r="Q5" s="58"/>
    </x:row>
    <x:row r="6" ht="15" hidden="0" customHeight="1">
      <x:c r="A6" s="66" t="str">
        <x:v>snapshot_key</x:v>
      </x:c>
      <x:c r="B6" s="67" t="str">
        <x:v>snapshot_date</x:v>
      </x:c>
      <x:c r="C6" s="67" t="str">
        <x:v>deal_id</x:v>
      </x:c>
      <x:c r="D6" s="67" t="str">
        <x:v>deal_name</x:v>
      </x:c>
      <x:c r="E6" s="67" t="str">
        <x:v>company_name</x:v>
      </x:c>
      <x:c r="F6" s="67" t="str">
        <x:v>deal_owner</x:v>
      </x:c>
      <x:c r="G6" s="67" t="str">
        <x:v>deal_stage</x:v>
      </x:c>
      <x:c r="H6" s="67" t="str">
        <x:v>amount</x:v>
      </x:c>
      <x:c r="I6" s="67" t="str">
        <x:v>close_date</x:v>
      </x:c>
      <x:c r="J6" s="67" t="str">
        <x:v>last_activity_date</x:v>
      </x:c>
      <x:c r="K6" s="67" t="str">
        <x:v>next_activity_date</x:v>
      </x:c>
      <x:c r="L6" s="67" t="str">
        <x:v>forecast_category</x:v>
      </x:c>
      <x:c r="M6" s="67" t="str">
        <x:v>deal_type</x:v>
      </x:c>
      <x:c r="N6" s="67" t="str">
        <x:v>create_date</x:v>
      </x:c>
      <x:c r="O6" s="67" t="str">
        <x:v>stage_order</x:v>
      </x:c>
      <x:c r="P6" s="67" t="str">
        <x:v>stage_category</x:v>
      </x:c>
      <x:c r="Q6" s="68" t="str">
        <x:v>weighted_amount</x:v>
      </x:c>
    </x:row>
    <x:row r="7" ht="15" hidden="0" customHeight="1">
      <x:c r="A7" s="65" t="str">
        <x:v>2026-09-14|D-1001</x:v>
      </x:c>
      <x:c r="B7" s="69" t="n">
        <x:v>46279</x:v>
      </x:c>
      <x:c r="C7" s="65" t="str">
        <x:v>D-1001</x:v>
      </x:c>
      <x:c r="D7" s="65" t="str">
        <x:v>Atlas Annual</x:v>
      </x:c>
      <x:c r="E7" s="65" t="str">
        <x:v>Atlas Labs</x:v>
      </x:c>
      <x:c r="F7" s="65" t="str">
        <x:v>Amara</x:v>
      </x:c>
      <x:c r="G7" s="65" t="str">
        <x:v>Negotiation</x:v>
      </x:c>
      <x:c r="H7" s="70" t="n">
        <x:v>120000</x:v>
      </x:c>
      <x:c r="I7" s="69" t="n">
        <x:v>46290</x:v>
      </x:c>
      <x:c r="J7" s="69" t="n">
        <x:v>46277</x:v>
      </x:c>
      <x:c r="K7" s="69" t="n">
        <x:v>46281</x:v>
      </x:c>
      <x:c r="L7" s="65" t="str">
        <x:v>Commit</x:v>
      </x:c>
      <x:c r="M7" s="65" t="str">
        <x:v>New</x:v>
      </x:c>
      <x:c r="N7" s="69" t="n">
        <x:v>46183</x:v>
      </x:c>
      <x:c r="O7" s="58" t="n">
        <x:v>4</x:v>
      </x:c>
      <x:c r="P7" s="58" t="str">
        <x:v>Open</x:v>
      </x:c>
      <x:c r="Q7" s="79" t="n">
        <x:v>90000</x:v>
      </x:c>
    </x:row>
    <x:row r="8" ht="15" hidden="0" customHeight="1">
      <x:c r="A8" s="65" t="str">
        <x:v>2026-09-14|D-1002</x:v>
      </x:c>
      <x:c r="B8" s="69" t="n">
        <x:v>46279</x:v>
      </x:c>
      <x:c r="C8" s="65" t="str">
        <x:v>D-1002</x:v>
      </x:c>
      <x:c r="D8" s="65" t="str">
        <x:v>Beacon Expansion</x:v>
      </x:c>
      <x:c r="E8" s="65" t="str">
        <x:v>Beacon Works</x:v>
      </x:c>
      <x:c r="F8" s="65" t="str">
        <x:v>Ben</x:v>
      </x:c>
      <x:c r="G8" s="65" t="str">
        <x:v>Evaluation</x:v>
      </x:c>
      <x:c r="H8" s="70" t="n">
        <x:v>90000</x:v>
      </x:c>
      <x:c r="I8" s="69" t="n">
        <x:v>46300</x:v>
      </x:c>
      <x:c r="J8" s="69" t="n">
        <x:v>46275</x:v>
      </x:c>
      <x:c r="K8" s="69" t="n">
        <x:v>46283</x:v>
      </x:c>
      <x:c r="L8" s="65" t="str">
        <x:v>Best Case</x:v>
      </x:c>
      <x:c r="M8" s="65" t="str">
        <x:v>Expansion</x:v>
      </x:c>
      <x:c r="N8" s="69" t="n">
        <x:v>46204</x:v>
      </x:c>
      <x:c r="O8" s="58" t="n">
        <x:v>3</x:v>
      </x:c>
      <x:c r="P8" s="58" t="str">
        <x:v>Open</x:v>
      </x:c>
      <x:c r="Q8" s="79" t="n">
        <x:v>45000</x:v>
      </x:c>
    </x:row>
    <x:row r="9" ht="15" hidden="0" customHeight="1">
      <x:c r="A9" s="65" t="str">
        <x:v>2026-09-14|D-1003</x:v>
      </x:c>
      <x:c r="B9" s="69" t="n">
        <x:v>46279</x:v>
      </x:c>
      <x:c r="C9" s="65" t="str">
        <x:v>D-1003</x:v>
      </x:c>
      <x:c r="D9" s="65" t="str">
        <x:v>Cedar Platform</x:v>
      </x:c>
      <x:c r="E9" s="65" t="str">
        <x:v>Cedar Group</x:v>
      </x:c>
      <x:c r="F9" s="65" t="str">
        <x:v>Chen</x:v>
      </x:c>
      <x:c r="G9" s="65" t="str">
        <x:v>Qualified</x:v>
      </x:c>
      <x:c r="H9" s="70" t="n">
        <x:v>75000</x:v>
      </x:c>
      <x:c r="I9" s="69" t="n">
        <x:v>46307</x:v>
      </x:c>
      <x:c r="J9" s="69" t="n">
        <x:v>46276</x:v>
      </x:c>
      <x:c r="K9" s="69" t="n">
        <x:v>46282</x:v>
      </x:c>
      <x:c r="L9" s="65" t="str">
        <x:v>Pipeline</x:v>
      </x:c>
      <x:c r="M9" s="65" t="str">
        <x:v>New</x:v>
      </x:c>
      <x:c r="N9" s="69" t="n">
        <x:v>46236</x:v>
      </x:c>
      <x:c r="O9" s="58" t="n">
        <x:v>2</x:v>
      </x:c>
      <x:c r="P9" s="58" t="str">
        <x:v>Open</x:v>
      </x:c>
      <x:c r="Q9" s="79" t="n">
        <x:v>18750</x:v>
      </x:c>
    </x:row>
    <x:row r="10" ht="15" hidden="0" customHeight="1">
      <x:c r="A10" s="65" t="str">
        <x:v>2026-09-14|D-1004</x:v>
      </x:c>
      <x:c r="B10" s="69" t="n">
        <x:v>46279</x:v>
      </x:c>
      <x:c r="C10" s="65" t="str">
        <x:v>D-1004</x:v>
      </x:c>
      <x:c r="D10" s="65" t="str">
        <x:v>Delta Rollout</x:v>
      </x:c>
      <x:c r="E10" s="65" t="str">
        <x:v>Delta North</x:v>
      </x:c>
      <x:c r="F10" s="65" t="str">
        <x:v>Deepa</x:v>
      </x:c>
      <x:c r="G10" s="65" t="str">
        <x:v>Negotiation</x:v>
      </x:c>
      <x:c r="H10" s="70" t="n">
        <x:v>110000</x:v>
      </x:c>
      <x:c r="I10" s="69" t="n">
        <x:v>46294</x:v>
      </x:c>
      <x:c r="J10" s="69" t="n">
        <x:v>46278</x:v>
      </x:c>
      <x:c r="K10" s="69" t="n">
        <x:v>46280</x:v>
      </x:c>
      <x:c r="L10" s="65" t="str">
        <x:v>Commit</x:v>
      </x:c>
      <x:c r="M10" s="65" t="str">
        <x:v>New</x:v>
      </x:c>
      <x:c r="N10" s="69" t="n">
        <x:v>46160</x:v>
      </x:c>
      <x:c r="O10" s="58" t="n">
        <x:v>4</x:v>
      </x:c>
      <x:c r="P10" s="58" t="str">
        <x:v>Open</x:v>
      </x:c>
      <x:c r="Q10" s="79" t="n">
        <x:v>82500</x:v>
      </x:c>
    </x:row>
    <x:row r="11" ht="15" hidden="0" customHeight="1">
      <x:c r="A11" s="65" t="str">
        <x:v>2026-09-14|D-1005</x:v>
      </x:c>
      <x:c r="B11" s="69" t="n">
        <x:v>46279</x:v>
      </x:c>
      <x:c r="C11" s="65" t="str">
        <x:v>D-1005</x:v>
      </x:c>
      <x:c r="D11" s="65" t="str">
        <x:v>Elm Analytics</x:v>
      </x:c>
      <x:c r="E11" s="65" t="str">
        <x:v>Elm Systems</x:v>
      </x:c>
      <x:c r="F11" s="65" t="str">
        <x:v>Eli</x:v>
      </x:c>
      <x:c r="G11" s="65" t="str">
        <x:v>Discovery</x:v>
      </x:c>
      <x:c r="H11" s="70" t="n">
        <x:v>40000</x:v>
      </x:c>
      <x:c r="I11" s="69" t="n">
        <x:v>46327</x:v>
      </x:c>
      <x:c r="J11" s="69" t="n">
        <x:v>46274</x:v>
      </x:c>
      <x:c r="K11" s="69" t="n">
        <x:v>46287</x:v>
      </x:c>
      <x:c r="L11" s="65" t="str">
        <x:v>Pipeline</x:v>
      </x:c>
      <x:c r="M11" s="65" t="str">
        <x:v>New</x:v>
      </x:c>
      <x:c r="N11" s="69" t="n">
        <x:v>46266</x:v>
      </x:c>
      <x:c r="O11" s="58" t="n">
        <x:v>1</x:v>
      </x:c>
      <x:c r="P11" s="58" t="str">
        <x:v>Open</x:v>
      </x:c>
      <x:c r="Q11" s="79" t="n">
        <x:v>4000</x:v>
      </x:c>
    </x:row>
    <x:row r="12" ht="15" hidden="0" customHeight="1">
      <x:c r="A12" s="65" t="str">
        <x:v>2026-09-14|D-1006</x:v>
      </x:c>
      <x:c r="B12" s="69" t="n">
        <x:v>46279</x:v>
      </x:c>
      <x:c r="C12" s="65" t="str">
        <x:v>D-1006</x:v>
      </x:c>
      <x:c r="D12" s="65" t="str">
        <x:v>Fjord Upgrade</x:v>
      </x:c>
      <x:c r="E12" s="65" t="str">
        <x:v>Fjord Health</x:v>
      </x:c>
      <x:c r="F12" s="65" t="str">
        <x:v>Amara</x:v>
      </x:c>
      <x:c r="G12" s="65" t="str">
        <x:v>Evaluation</x:v>
      </x:c>
      <x:c r="H12" s="70" t="n">
        <x:v>80000</x:v>
      </x:c>
      <x:c r="I12" s="69" t="n">
        <x:v>46295</x:v>
      </x:c>
      <x:c r="J12" s="69" t="n">
        <x:v>46268</x:v>
      </x:c>
      <x:c r="K12" s="69" t="n">
        <x:v>46282</x:v>
      </x:c>
      <x:c r="L12" s="65" t="str">
        <x:v>Best Case</x:v>
      </x:c>
      <x:c r="M12" s="65" t="str">
        <x:v>Expansion</x:v>
      </x:c>
      <x:c r="N12" s="69" t="n">
        <x:v>46193</x:v>
      </x:c>
      <x:c r="O12" s="58" t="n">
        <x:v>3</x:v>
      </x:c>
      <x:c r="P12" s="58" t="str">
        <x:v>Open</x:v>
      </x:c>
      <x:c r="Q12" s="79" t="n">
        <x:v>40000</x:v>
      </x:c>
    </x:row>
    <x:row r="13" ht="15" hidden="0" customHeight="1">
      <x:c r="A13" s="65" t="str">
        <x:v>2026-09-14|D-1007</x:v>
      </x:c>
      <x:c r="B13" s="69" t="n">
        <x:v>46279</x:v>
      </x:c>
      <x:c r="C13" s="65" t="str">
        <x:v>D-1007</x:v>
      </x:c>
      <x:c r="D13" s="65" t="str">
        <x:v>Grove Renewal</x:v>
      </x:c>
      <x:c r="E13" s="65" t="str">
        <x:v>Grove Media</x:v>
      </x:c>
      <x:c r="F13" s="65" t="str">
        <x:v>Ben</x:v>
      </x:c>
      <x:c r="G13" s="65" t="str">
        <x:v>Negotiation</x:v>
      </x:c>
      <x:c r="H13" s="70" t="n">
        <x:v>65000</x:v>
      </x:c>
      <x:c r="I13" s="69" t="n">
        <x:v>46293</x:v>
      </x:c>
      <x:c r="J13" s="69" t="n">
        <x:v>46277</x:v>
      </x:c>
      <x:c r="K13" s="69" t="n">
        <x:v>46281</x:v>
      </x:c>
      <x:c r="L13" s="65" t="str">
        <x:v>Commit</x:v>
      </x:c>
      <x:c r="M13" s="65" t="str">
        <x:v>Renewal</x:v>
      </x:c>
      <x:c r="N13" s="69" t="n">
        <x:v>46127</x:v>
      </x:c>
      <x:c r="O13" s="58" t="n">
        <x:v>4</x:v>
      </x:c>
      <x:c r="P13" s="58" t="str">
        <x:v>Open</x:v>
      </x:c>
      <x:c r="Q13" s="79" t="n">
        <x:v>48750</x:v>
      </x:c>
    </x:row>
    <x:row r="14" ht="15" hidden="0" customHeight="1">
      <x:c r="A14" s="65" t="str">
        <x:v>2026-09-14|D-1008</x:v>
      </x:c>
      <x:c r="B14" s="69" t="n">
        <x:v>46279</x:v>
      </x:c>
      <x:c r="C14" s="65" t="str">
        <x:v>D-1008</x:v>
      </x:c>
      <x:c r="D14" s="65" t="str">
        <x:v>Harbor Suite</x:v>
      </x:c>
      <x:c r="E14" s="65" t="str">
        <x:v>Harbor Co</x:v>
      </x:c>
      <x:c r="F14" s="65" t="str">
        <x:v>Chen</x:v>
      </x:c>
      <x:c r="G14" s="65" t="str">
        <x:v>Qualified</x:v>
      </x:c>
      <x:c r="H14" s="70" t="n">
        <x:v>55000</x:v>
      </x:c>
      <x:c r="I14" s="69" t="n">
        <x:v>46310</x:v>
      </x:c>
      <x:c r="J14" s="69" t="n">
        <x:v>46273</x:v>
      </x:c>
      <x:c r="K14" s="69" t="n">
        <x:v>46285</x:v>
      </x:c>
      <x:c r="L14" s="65" t="str">
        <x:v>Pipeline</x:v>
      </x:c>
      <x:c r="M14" s="65" t="str">
        <x:v>New</x:v>
      </x:c>
      <x:c r="N14" s="69" t="n">
        <x:v>46225</x:v>
      </x:c>
      <x:c r="O14" s="58" t="n">
        <x:v>2</x:v>
      </x:c>
      <x:c r="P14" s="58" t="str">
        <x:v>Open</x:v>
      </x:c>
      <x:c r="Q14" s="79" t="n">
        <x:v>13750</x:v>
      </x:c>
    </x:row>
    <x:row r="15" ht="15" hidden="0" customHeight="1">
      <x:c r="A15" s="65" t="str">
        <x:v>2026-09-14|D-1009</x:v>
      </x:c>
      <x:c r="B15" s="69" t="n">
        <x:v>46279</x:v>
      </x:c>
      <x:c r="C15" s="65" t="str">
        <x:v>D-1009</x:v>
      </x:c>
      <x:c r="D15" s="65" t="str">
        <x:v>Ion Services</x:v>
      </x:c>
      <x:c r="E15" s="65" t="str">
        <x:v>Ion Partners</x:v>
      </x:c>
      <x:c r="F15" s="65" t="str">
        <x:v>Deepa</x:v>
      </x:c>
      <x:c r="G15" s="65" t="str">
        <x:v>Discovery</x:v>
      </x:c>
      <x:c r="H15" s="70" t="n">
        <x:v>35000</x:v>
      </x:c>
      <x:c r="I15" s="69" t="n">
        <x:v>46325</x:v>
      </x:c>
      <x:c r="J15" s="69" t="n">
        <x:v>46254</x:v>
      </x:c>
      <x:c r="K15" s="69"/>
      <x:c r="L15" s="65" t="str">
        <x:v>Pipeline</x:v>
      </x:c>
      <x:c r="M15" s="65" t="str">
        <x:v>New</x:v>
      </x:c>
      <x:c r="N15" s="69" t="n">
        <x:v>46218</x:v>
      </x:c>
      <x:c r="O15" s="58" t="n">
        <x:v>1</x:v>
      </x:c>
      <x:c r="P15" s="58" t="str">
        <x:v>Open</x:v>
      </x:c>
      <x:c r="Q15" s="79" t="n">
        <x:v>3500</x:v>
      </x:c>
    </x:row>
    <x:row r="16" ht="15" hidden="0" customHeight="1">
      <x:c r="A16" s="65" t="str">
        <x:v>2026-09-14|D-1010</x:v>
      </x:c>
      <x:c r="B16" s="69" t="n">
        <x:v>46279</x:v>
      </x:c>
      <x:c r="C16" s="65" t="str">
        <x:v>D-1010</x:v>
      </x:c>
      <x:c r="D16" s="65" t="str">
        <x:v>Juniper Cloud</x:v>
      </x:c>
      <x:c r="E16" s="65" t="str">
        <x:v>Juniper PLC</x:v>
      </x:c>
      <x:c r="F16" s="65" t="str">
        <x:v>Eli</x:v>
      </x:c>
      <x:c r="G16" s="65" t="str">
        <x:v>Evaluation</x:v>
      </x:c>
      <x:c r="H16" s="70" t="n">
        <x:v>95000</x:v>
      </x:c>
      <x:c r="I16" s="69" t="n">
        <x:v>46303</x:v>
      </x:c>
      <x:c r="J16" s="69" t="n">
        <x:v>46259</x:v>
      </x:c>
      <x:c r="K16" s="69" t="n">
        <x:v>46284</x:v>
      </x:c>
      <x:c r="L16" s="65" t="str">
        <x:v>Best Case</x:v>
      </x:c>
      <x:c r="M16" s="65" t="str">
        <x:v>New</x:v>
      </x:c>
      <x:c r="N16" s="69" t="n">
        <x:v>46172</x:v>
      </x:c>
      <x:c r="O16" s="58" t="n">
        <x:v>3</x:v>
      </x:c>
      <x:c r="P16" s="58" t="str">
        <x:v>Open</x:v>
      </x:c>
      <x:c r="Q16" s="79" t="n">
        <x:v>47500</x:v>
      </x:c>
    </x:row>
    <x:row r="17" ht="15" hidden="0" customHeight="1">
      <x:c r="A17" s="65" t="str">
        <x:v>2026-09-14|D-1011</x:v>
      </x:c>
      <x:c r="B17" s="69" t="n">
        <x:v>46279</x:v>
      </x:c>
      <x:c r="C17" s="65" t="str">
        <x:v>D-1011</x:v>
      </x:c>
      <x:c r="D17" s="65" t="str">
        <x:v>Kite Security</x:v>
      </x:c>
      <x:c r="E17" s="65" t="str">
        <x:v>Kite Ltd</x:v>
      </x:c>
      <x:c r="F17" s="65" t="str">
        <x:v>Amara</x:v>
      </x:c>
      <x:c r="G17" s="65" t="str">
        <x:v>Qualified</x:v>
      </x:c>
      <x:c r="H17" s="70" t="n">
        <x:v>50000</x:v>
      </x:c>
      <x:c r="I17" s="69"/>
      <x:c r="J17" s="69" t="n">
        <x:v>46278</x:v>
      </x:c>
      <x:c r="K17" s="69" t="n">
        <x:v>46286</x:v>
      </x:c>
      <x:c r="L17" s="65" t="str">
        <x:v>Pipeline</x:v>
      </x:c>
      <x:c r="M17" s="65" t="str">
        <x:v>New</x:v>
      </x:c>
      <x:c r="N17" s="69" t="n">
        <x:v>46254</x:v>
      </x:c>
      <x:c r="O17" s="58" t="n">
        <x:v>2</x:v>
      </x:c>
      <x:c r="P17" s="58" t="str">
        <x:v>Open</x:v>
      </x:c>
      <x:c r="Q17" s="79" t="n">
        <x:v>12500</x:v>
      </x:c>
    </x:row>
    <x:row r="18" ht="15" hidden="0" customHeight="1">
      <x:c r="A18" s="65" t="str">
        <x:v>2026-09-14|D-1012</x:v>
      </x:c>
      <x:c r="B18" s="69" t="n">
        <x:v>46279</x:v>
      </x:c>
      <x:c r="C18" s="65" t="str">
        <x:v>D-1012</x:v>
      </x:c>
      <x:c r="D18" s="65" t="str">
        <x:v>Lumen Data</x:v>
      </x:c>
      <x:c r="E18" s="65" t="str">
        <x:v>Lumen Inc</x:v>
      </x:c>
      <x:c r="F18" s="65" t="str">
        <x:v>Ben</x:v>
      </x:c>
      <x:c r="G18" s="65" t="str">
        <x:v>Negotiation</x:v>
      </x:c>
      <x:c r="H18" s="70" t="n">
        <x:v>130000</x:v>
      </x:c>
      <x:c r="I18" s="69" t="n">
        <x:v>46292</x:v>
      </x:c>
      <x:c r="J18" s="69" t="n">
        <x:v>46276</x:v>
      </x:c>
      <x:c r="K18" s="69" t="n">
        <x:v>46283</x:v>
      </x:c>
      <x:c r="L18" s="65" t="str">
        <x:v>Commit</x:v>
      </x:c>
      <x:c r="M18" s="65" t="str">
        <x:v>New</x:v>
      </x:c>
      <x:c r="N18" s="69" t="n">
        <x:v>46132</x:v>
      </x:c>
      <x:c r="O18" s="58" t="n">
        <x:v>4</x:v>
      </x:c>
      <x:c r="P18" s="58" t="str">
        <x:v>Open</x:v>
      </x:c>
      <x:c r="Q18" s="79" t="n">
        <x:v>97500</x:v>
      </x:c>
    </x:row>
    <x:row r="19" ht="15" hidden="0" customHeight="1">
      <x:c r="A19" s="65" t="str">
        <x:v>2026-09-14|D-1013</x:v>
      </x:c>
      <x:c r="B19" s="69" t="n">
        <x:v>46279</x:v>
      </x:c>
      <x:c r="C19" s="65" t="str">
        <x:v>D-1013</x:v>
      </x:c>
      <x:c r="D19" s="65" t="str">
        <x:v>Mosaic Pilot</x:v>
      </x:c>
      <x:c r="E19" s="65" t="str">
        <x:v>Mosaic AI</x:v>
      </x:c>
      <x:c r="F19" s="65" t="str"/>
      <x:c r="G19" s="65" t="str">
        <x:v>Discovery</x:v>
      </x:c>
      <x:c r="H19" s="70" t="n">
        <x:v>30000</x:v>
      </x:c>
      <x:c r="I19" s="69" t="n">
        <x:v>46341</x:v>
      </x:c>
      <x:c r="J19" s="69" t="n">
        <x:v>46263</x:v>
      </x:c>
      <x:c r="K19" s="69" t="n">
        <x:v>46289</x:v>
      </x:c>
      <x:c r="L19" s="65" t="str">
        <x:v>Pipeline</x:v>
      </x:c>
      <x:c r="M19" s="65" t="str">
        <x:v>New</x:v>
      </x:c>
      <x:c r="N19" s="69" t="n">
        <x:v>46268</x:v>
      </x:c>
      <x:c r="O19" s="58" t="n">
        <x:v>1</x:v>
      </x:c>
      <x:c r="P19" s="58" t="str">
        <x:v>Open</x:v>
      </x:c>
      <x:c r="Q19" s="79" t="n">
        <x:v>3000</x:v>
      </x:c>
    </x:row>
    <x:row r="20" ht="15" hidden="0" customHeight="1">
      <x:c r="A20" s="65" t="str">
        <x:v>2026-09-14|D-1014</x:v>
      </x:c>
      <x:c r="B20" s="69" t="n">
        <x:v>46279</x:v>
      </x:c>
      <x:c r="C20" s="65" t="str">
        <x:v>D-1014</x:v>
      </x:c>
      <x:c r="D20" s="65" t="str">
        <x:v>Noble Annual</x:v>
      </x:c>
      <x:c r="E20" s="65" t="str">
        <x:v>Noble Ops</x:v>
      </x:c>
      <x:c r="F20" s="65" t="str">
        <x:v>Chen</x:v>
      </x:c>
      <x:c r="G20" s="65" t="str">
        <x:v>Evaluation</x:v>
      </x:c>
      <x:c r="H20" s="70" t="n">
        <x:v>85000</x:v>
      </x:c>
      <x:c r="I20" s="69" t="n">
        <x:v>46291</x:v>
      </x:c>
      <x:c r="J20" s="69" t="n">
        <x:v>46278</x:v>
      </x:c>
      <x:c r="K20" s="69" t="n">
        <x:v>46282</x:v>
      </x:c>
      <x:c r="L20" s="65" t="str">
        <x:v>Best Case</x:v>
      </x:c>
      <x:c r="M20" s="65" t="str">
        <x:v>New</x:v>
      </x:c>
      <x:c r="N20" s="69" t="n">
        <x:v>46191</x:v>
      </x:c>
      <x:c r="O20" s="58" t="n">
        <x:v>3</x:v>
      </x:c>
      <x:c r="P20" s="58" t="str">
        <x:v>Open</x:v>
      </x:c>
      <x:c r="Q20" s="79" t="n">
        <x:v>42500</x:v>
      </x:c>
    </x:row>
    <x:row r="21" ht="15" hidden="0" customHeight="1">
      <x:c r="A21" s="65" t="str">
        <x:v>2026-09-14|D-1015</x:v>
      </x:c>
      <x:c r="B21" s="69" t="n">
        <x:v>46279</x:v>
      </x:c>
      <x:c r="C21" s="65" t="str">
        <x:v>D-1015</x:v>
      </x:c>
      <x:c r="D21" s="65" t="str">
        <x:v>Orchid Reopen</x:v>
      </x:c>
      <x:c r="E21" s="65" t="str">
        <x:v>Orchid Labs</x:v>
      </x:c>
      <x:c r="F21" s="65" t="str">
        <x:v>Deepa</x:v>
      </x:c>
      <x:c r="G21" s="65" t="str">
        <x:v>Closed Lost</x:v>
      </x:c>
      <x:c r="H21" s="70" t="n">
        <x:v>45000</x:v>
      </x:c>
      <x:c r="I21" s="69" t="n">
        <x:v>46270</x:v>
      </x:c>
      <x:c r="J21" s="69" t="n">
        <x:v>46270</x:v>
      </x:c>
      <x:c r="K21" s="69"/>
      <x:c r="L21" s="65" t="str">
        <x:v>Omitted</x:v>
      </x:c>
      <x:c r="M21" s="65" t="str">
        <x:v>New</x:v>
      </x:c>
      <x:c r="N21" s="69" t="n">
        <x:v>46152</x:v>
      </x:c>
      <x:c r="O21" s="58" t="n">
        <x:v>5</x:v>
      </x:c>
      <x:c r="P21" s="58" t="str">
        <x:v>Lost</x:v>
      </x:c>
      <x:c r="Q21" s="79" t="n">
        <x:v>0</x:v>
      </x:c>
    </x:row>
    <x:row r="22" ht="15" hidden="0" customHeight="1">
      <x:c r="A22" s="65" t="str">
        <x:v>2026-09-14|D-1016</x:v>
      </x:c>
      <x:c r="B22" s="69" t="n">
        <x:v>46279</x:v>
      </x:c>
      <x:c r="C22" s="65" t="str">
        <x:v>D-1016</x:v>
      </x:c>
      <x:c r="D22" s="65" t="str">
        <x:v>Pine Renewal</x:v>
      </x:c>
      <x:c r="E22" s="65" t="str">
        <x:v>Pine Systems</x:v>
      </x:c>
      <x:c r="F22" s="65" t="str">
        <x:v>Eli</x:v>
      </x:c>
      <x:c r="G22" s="65" t="str">
        <x:v>Negotiation</x:v>
      </x:c>
      <x:c r="H22" s="70" t="n">
        <x:v>105000</x:v>
      </x:c>
      <x:c r="I22" s="69" t="n">
        <x:v>46297</x:v>
      </x:c>
      <x:c r="J22" s="69" t="n">
        <x:v>46278</x:v>
      </x:c>
      <x:c r="K22" s="69" t="n">
        <x:v>46282</x:v>
      </x:c>
      <x:c r="L22" s="65" t="str">
        <x:v>Commit</x:v>
      </x:c>
      <x:c r="M22" s="65" t="str">
        <x:v>Renewal</x:v>
      </x:c>
      <x:c r="N22" s="69" t="n">
        <x:v>46092</x:v>
      </x:c>
      <x:c r="O22" s="58" t="n">
        <x:v>4</x:v>
      </x:c>
      <x:c r="P22" s="58" t="str">
        <x:v>Open</x:v>
      </x:c>
      <x:c r="Q22" s="79" t="n">
        <x:v>78750</x:v>
      </x:c>
    </x:row>
    <x:row r="23" ht="15" hidden="0" customHeight="1">
      <x:c r="A23" s="65" t="str">
        <x:v>2026-09-14|D-1017</x:v>
      </x:c>
      <x:c r="B23" s="69" t="n">
        <x:v>46279</x:v>
      </x:c>
      <x:c r="C23" s="65" t="str">
        <x:v>D-1017</x:v>
      </x:c>
      <x:c r="D23" s="65" t="str">
        <x:v>Quartz Trial</x:v>
      </x:c>
      <x:c r="E23" s="65" t="str">
        <x:v>Quartz Tech</x:v>
      </x:c>
      <x:c r="F23" s="65" t="str">
        <x:v>Amara</x:v>
      </x:c>
      <x:c r="G23" s="65" t="str">
        <x:v>Discovery</x:v>
      </x:c>
      <x:c r="H23" s="70" t="n">
        <x:v>25000</x:v>
      </x:c>
      <x:c r="I23" s="69" t="n">
        <x:v>46320</x:v>
      </x:c>
      <x:c r="J23" s="69" t="n">
        <x:v>46272</x:v>
      </x:c>
      <x:c r="K23" s="69" t="n">
        <x:v>46285</x:v>
      </x:c>
      <x:c r="L23" s="65" t="str">
        <x:v>Pipeline</x:v>
      </x:c>
      <x:c r="M23" s="65" t="str">
        <x:v>New</x:v>
      </x:c>
      <x:c r="N23" s="69" t="n">
        <x:v>46259</x:v>
      </x:c>
      <x:c r="O23" s="58" t="n">
        <x:v>1</x:v>
      </x:c>
      <x:c r="P23" s="58" t="str">
        <x:v>Open</x:v>
      </x:c>
      <x:c r="Q23" s="79" t="n">
        <x:v>2500</x:v>
      </x:c>
    </x:row>
    <x:row r="24" ht="15" hidden="0" customHeight="1">
      <x:c r="A24" s="65" t="str">
        <x:v>2026-09-14|D-1018</x:v>
      </x:c>
      <x:c r="B24" s="69" t="n">
        <x:v>46279</x:v>
      </x:c>
      <x:c r="C24" s="65" t="str">
        <x:v>D-1018</x:v>
      </x:c>
      <x:c r="D24" s="65" t="str">
        <x:v>River Expansion</x:v>
      </x:c>
      <x:c r="E24" s="65" t="str">
        <x:v>River Group</x:v>
      </x:c>
      <x:c r="F24" s="65" t="str">
        <x:v>Ben</x:v>
      </x:c>
      <x:c r="G24" s="65" t="str">
        <x:v>Evaluation</x:v>
      </x:c>
      <x:c r="H24" s="70" t="n">
        <x:v>70000</x:v>
      </x:c>
      <x:c r="I24" s="69" t="n">
        <x:v>46315</x:v>
      </x:c>
      <x:c r="J24" s="69" t="n">
        <x:v>46275</x:v>
      </x:c>
      <x:c r="K24" s="69" t="n">
        <x:v>46283</x:v>
      </x:c>
      <x:c r="L24" s="65" t="str">
        <x:v>Best Case</x:v>
      </x:c>
      <x:c r="M24" s="65" t="str">
        <x:v>Expansion</x:v>
      </x:c>
      <x:c r="N24" s="69" t="n">
        <x:v>46211</x:v>
      </x:c>
      <x:c r="O24" s="58" t="n">
        <x:v>3</x:v>
      </x:c>
      <x:c r="P24" s="58" t="str">
        <x:v>Open</x:v>
      </x:c>
      <x:c r="Q24" s="79" t="n">
        <x:v>35000</x:v>
      </x:c>
    </x:row>
    <x:row r="25" ht="15" hidden="0" customHeight="1">
      <x:c r="A25" s="65" t="str">
        <x:v>2026-09-14|D-1019</x:v>
      </x:c>
      <x:c r="B25" s="69" t="n">
        <x:v>46279</x:v>
      </x:c>
      <x:c r="C25" s="65" t="str">
        <x:v>D-1019</x:v>
      </x:c>
      <x:c r="D25" s="65" t="str">
        <x:v>Summit Plan</x:v>
      </x:c>
      <x:c r="E25" s="65" t="str">
        <x:v>Summit Labs</x:v>
      </x:c>
      <x:c r="F25" s="65" t="str">
        <x:v>Chen</x:v>
      </x:c>
      <x:c r="G25" s="65" t="str">
        <x:v>Qualified</x:v>
      </x:c>
      <x:c r="H25" s="70" t="n">
        <x:v>60000</x:v>
      </x:c>
      <x:c r="I25" s="69" t="n">
        <x:v>46331</x:v>
      </x:c>
      <x:c r="J25" s="69" t="n">
        <x:v>46277</x:v>
      </x:c>
      <x:c r="K25" s="69" t="n">
        <x:v>46286</x:v>
      </x:c>
      <x:c r="L25" s="65" t="str">
        <x:v>Pipeline</x:v>
      </x:c>
      <x:c r="M25" s="65" t="str">
        <x:v>New</x:v>
      </x:c>
      <x:c r="N25" s="69" t="n">
        <x:v>46245</x:v>
      </x:c>
      <x:c r="O25" s="58" t="n">
        <x:v>2</x:v>
      </x:c>
      <x:c r="P25" s="58" t="str">
        <x:v>Open</x:v>
      </x:c>
      <x:c r="Q25" s="79" t="n">
        <x:v>15000</x:v>
      </x:c>
    </x:row>
    <x:row r="26" ht="15" hidden="0" customHeight="1">
      <x:c r="A26" s="65" t="str">
        <x:v>2026-09-14|D-1020</x:v>
      </x:c>
      <x:c r="B26" s="69" t="n">
        <x:v>46279</x:v>
      </x:c>
      <x:c r="C26" s="65" t="str">
        <x:v>D-1020</x:v>
      </x:c>
      <x:c r="D26" s="65" t="str">
        <x:v>Timber Annual</x:v>
      </x:c>
      <x:c r="E26" s="65" t="str">
        <x:v>Timber PLC</x:v>
      </x:c>
      <x:c r="F26" s="65" t="str">
        <x:v>Deepa</x:v>
      </x:c>
      <x:c r="G26" s="65" t="str">
        <x:v>Negotiation</x:v>
      </x:c>
      <x:c r="H26" s="70" t="n">
        <x:v>115000</x:v>
      </x:c>
      <x:c r="I26" s="69" t="n">
        <x:v>46296</x:v>
      </x:c>
      <x:c r="J26" s="69" t="n">
        <x:v>46278</x:v>
      </x:c>
      <x:c r="K26" s="69" t="n">
        <x:v>46281</x:v>
      </x:c>
      <x:c r="L26" s="65" t="str">
        <x:v>Commit</x:v>
      </x:c>
      <x:c r="M26" s="65" t="str">
        <x:v>New</x:v>
      </x:c>
      <x:c r="N26" s="69" t="n">
        <x:v>46144</x:v>
      </x:c>
      <x:c r="O26" s="58" t="n">
        <x:v>4</x:v>
      </x:c>
      <x:c r="P26" s="58" t="str">
        <x:v>Open</x:v>
      </x:c>
      <x:c r="Q26" s="79" t="n">
        <x:v>86250</x:v>
      </x:c>
    </x:row>
    <x:row r="27" ht="15" hidden="0" customHeight="1">
      <x:c r="A27" s="65" t="str">
        <x:v>2026-09-14|D-1021</x:v>
      </x:c>
      <x:c r="B27" s="69" t="n">
        <x:v>46279</x:v>
      </x:c>
      <x:c r="C27" s="65" t="str">
        <x:v>D-1021</x:v>
      </x:c>
      <x:c r="D27" s="65" t="str">
        <x:v>Union Discovery</x:v>
      </x:c>
      <x:c r="E27" s="65" t="str">
        <x:v>Union Works</x:v>
      </x:c>
      <x:c r="F27" s="65" t="str">
        <x:v>Eli</x:v>
      </x:c>
      <x:c r="G27" s="65" t="str">
        <x:v>Discovery</x:v>
      </x:c>
      <x:c r="H27" s="70" t="n">
        <x:v>0</x:v>
      </x:c>
      <x:c r="I27" s="69" t="n">
        <x:v>46346</x:v>
      </x:c>
      <x:c r="J27" s="69" t="n">
        <x:v>46275</x:v>
      </x:c>
      <x:c r="K27" s="69" t="n">
        <x:v>46288</x:v>
      </x:c>
      <x:c r="L27" s="65" t="str">
        <x:v>Pipeline</x:v>
      </x:c>
      <x:c r="M27" s="65" t="str">
        <x:v>New</x:v>
      </x:c>
      <x:c r="N27" s="69" t="n">
        <x:v>46273</x:v>
      </x:c>
      <x:c r="O27" s="58" t="n">
        <x:v>1</x:v>
      </x:c>
      <x:c r="P27" s="58" t="str">
        <x:v>Open</x:v>
      </x:c>
      <x:c r="Q27" s="79" t="n">
        <x:v>0</x:v>
      </x:c>
    </x:row>
    <x:row r="28" ht="15" hidden="0" customHeight="1">
      <x:c r="A28" s="65" t="str">
        <x:v>2026-09-14|D-1022</x:v>
      </x:c>
      <x:c r="B28" s="69" t="n">
        <x:v>46279</x:v>
      </x:c>
      <x:c r="C28" s="65" t="str">
        <x:v>D-1022</x:v>
      </x:c>
      <x:c r="D28" s="65" t="str">
        <x:v>Vale Platform</x:v>
      </x:c>
      <x:c r="E28" s="65" t="str">
        <x:v>Vale Health</x:v>
      </x:c>
      <x:c r="F28" s="65" t="str">
        <x:v>Amara</x:v>
      </x:c>
      <x:c r="G28" s="65" t="str">
        <x:v>Evaluation</x:v>
      </x:c>
      <x:c r="H28" s="70" t="n">
        <x:v>75000</x:v>
      </x:c>
      <x:c r="I28" s="69" t="n">
        <x:v>46313</x:v>
      </x:c>
      <x:c r="J28" s="69" t="n">
        <x:v>46276</x:v>
      </x:c>
      <x:c r="K28" s="69" t="n">
        <x:v>46285</x:v>
      </x:c>
      <x:c r="L28" s="65" t="str">
        <x:v>Best Case</x:v>
      </x:c>
      <x:c r="M28" s="65" t="str">
        <x:v>New</x:v>
      </x:c>
      <x:c r="N28" s="69" t="n">
        <x:v>46229</x:v>
      </x:c>
      <x:c r="O28" s="58" t="n">
        <x:v>3</x:v>
      </x:c>
      <x:c r="P28" s="58" t="str">
        <x:v>Open</x:v>
      </x:c>
      <x:c r="Q28" s="79" t="n">
        <x:v>37500</x:v>
      </x:c>
    </x:row>
    <x:row r="29" ht="15" hidden="0" customHeight="1">
      <x:c r="A29" s="65" t="str">
        <x:v>2026-09-21|D-1001</x:v>
      </x:c>
      <x:c r="B29" s="69" t="n">
        <x:v>46286</x:v>
      </x:c>
      <x:c r="C29" s="65" t="str">
        <x:v>D-1001</x:v>
      </x:c>
      <x:c r="D29" s="65" t="str">
        <x:v>Atlas Annual</x:v>
      </x:c>
      <x:c r="E29" s="65" t="str">
        <x:v>Atlas Labs</x:v>
      </x:c>
      <x:c r="F29" s="65" t="str">
        <x:v>Amara</x:v>
      </x:c>
      <x:c r="G29" s="65" t="str">
        <x:v>Closed Won</x:v>
      </x:c>
      <x:c r="H29" s="70" t="n">
        <x:v>120000</x:v>
      </x:c>
      <x:c r="I29" s="69" t="n">
        <x:v>46290</x:v>
      </x:c>
      <x:c r="J29" s="69" t="n">
        <x:v>46277</x:v>
      </x:c>
      <x:c r="K29" s="69" t="n">
        <x:v>46281</x:v>
      </x:c>
      <x:c r="L29" s="65" t="str">
        <x:v>Commit</x:v>
      </x:c>
      <x:c r="M29" s="65" t="str">
        <x:v>New</x:v>
      </x:c>
      <x:c r="N29" s="69" t="n">
        <x:v>46183</x:v>
      </x:c>
      <x:c r="O29" s="58" t="n">
        <x:v>5</x:v>
      </x:c>
      <x:c r="P29" s="58" t="str">
        <x:v>Won</x:v>
      </x:c>
      <x:c r="Q29" s="79" t="n">
        <x:v>120000</x:v>
      </x:c>
    </x:row>
    <x:row r="30" ht="15" hidden="0" customHeight="1">
      <x:c r="A30" s="65" t="str">
        <x:v>2026-09-21|D-1002</x:v>
      </x:c>
      <x:c r="B30" s="69" t="n">
        <x:v>46286</x:v>
      </x:c>
      <x:c r="C30" s="65" t="str">
        <x:v>D-1002</x:v>
      </x:c>
      <x:c r="D30" s="65" t="str">
        <x:v>Beacon Expansion</x:v>
      </x:c>
      <x:c r="E30" s="65" t="str">
        <x:v>Beacon Works</x:v>
      </x:c>
      <x:c r="F30" s="65" t="str">
        <x:v>Ben</x:v>
      </x:c>
      <x:c r="G30" s="65" t="str">
        <x:v>Negotiation</x:v>
      </x:c>
      <x:c r="H30" s="70" t="n">
        <x:v>100000</x:v>
      </x:c>
      <x:c r="I30" s="69" t="n">
        <x:v>46300</x:v>
      </x:c>
      <x:c r="J30" s="69" t="n">
        <x:v>46275</x:v>
      </x:c>
      <x:c r="K30" s="69" t="n">
        <x:v>46283</x:v>
      </x:c>
      <x:c r="L30" s="65" t="str">
        <x:v>Best Case</x:v>
      </x:c>
      <x:c r="M30" s="65" t="str">
        <x:v>Expansion</x:v>
      </x:c>
      <x:c r="N30" s="69" t="n">
        <x:v>46204</x:v>
      </x:c>
      <x:c r="O30" s="58" t="n">
        <x:v>4</x:v>
      </x:c>
      <x:c r="P30" s="58" t="str">
        <x:v>Open</x:v>
      </x:c>
      <x:c r="Q30" s="79" t="n">
        <x:v>75000</x:v>
      </x:c>
    </x:row>
    <x:row r="31" ht="15" hidden="0" customHeight="1">
      <x:c r="A31" s="65" t="str">
        <x:v>2026-09-21|D-1003</x:v>
      </x:c>
      <x:c r="B31" s="69" t="n">
        <x:v>46286</x:v>
      </x:c>
      <x:c r="C31" s="65" t="str">
        <x:v>D-1003</x:v>
      </x:c>
      <x:c r="D31" s="65" t="str">
        <x:v>Cedar Platform</x:v>
      </x:c>
      <x:c r="E31" s="65" t="str">
        <x:v>Cedar Group</x:v>
      </x:c>
      <x:c r="F31" s="65" t="str">
        <x:v>Chen</x:v>
      </x:c>
      <x:c r="G31" s="65" t="str">
        <x:v>Evaluation</x:v>
      </x:c>
      <x:c r="H31" s="70" t="n">
        <x:v>75000</x:v>
      </x:c>
      <x:c r="I31" s="69" t="n">
        <x:v>46307</x:v>
      </x:c>
      <x:c r="J31" s="69" t="n">
        <x:v>46276</x:v>
      </x:c>
      <x:c r="K31" s="69" t="n">
        <x:v>46282</x:v>
      </x:c>
      <x:c r="L31" s="65" t="str">
        <x:v>Pipeline</x:v>
      </x:c>
      <x:c r="M31" s="65" t="str">
        <x:v>New</x:v>
      </x:c>
      <x:c r="N31" s="69" t="n">
        <x:v>46236</x:v>
      </x:c>
      <x:c r="O31" s="58" t="n">
        <x:v>3</x:v>
      </x:c>
      <x:c r="P31" s="58" t="str">
        <x:v>Open</x:v>
      </x:c>
      <x:c r="Q31" s="79" t="n">
        <x:v>37500</x:v>
      </x:c>
    </x:row>
    <x:row r="32" ht="15" hidden="0" customHeight="1">
      <x:c r="A32" s="65" t="str">
        <x:v>2026-09-21|D-1004</x:v>
      </x:c>
      <x:c r="B32" s="69" t="n">
        <x:v>46286</x:v>
      </x:c>
      <x:c r="C32" s="65" t="str">
        <x:v>D-1004</x:v>
      </x:c>
      <x:c r="D32" s="65" t="str">
        <x:v>Delta Rollout</x:v>
      </x:c>
      <x:c r="E32" s="65" t="str">
        <x:v>Delta North</x:v>
      </x:c>
      <x:c r="F32" s="65" t="str">
        <x:v>Deepa</x:v>
      </x:c>
      <x:c r="G32" s="65" t="str">
        <x:v>Closed Lost</x:v>
      </x:c>
      <x:c r="H32" s="70" t="n">
        <x:v>110000</x:v>
      </x:c>
      <x:c r="I32" s="69" t="n">
        <x:v>46294</x:v>
      </x:c>
      <x:c r="J32" s="69" t="n">
        <x:v>46278</x:v>
      </x:c>
      <x:c r="K32" s="69" t="n">
        <x:v>46280</x:v>
      </x:c>
      <x:c r="L32" s="65" t="str">
        <x:v>Commit</x:v>
      </x:c>
      <x:c r="M32" s="65" t="str">
        <x:v>New</x:v>
      </x:c>
      <x:c r="N32" s="69" t="n">
        <x:v>46160</x:v>
      </x:c>
      <x:c r="O32" s="58" t="n">
        <x:v>5</x:v>
      </x:c>
      <x:c r="P32" s="58" t="str">
        <x:v>Lost</x:v>
      </x:c>
      <x:c r="Q32" s="79" t="n">
        <x:v>0</x:v>
      </x:c>
    </x:row>
    <x:row r="33" ht="15" hidden="0" customHeight="1">
      <x:c r="A33" s="65" t="str">
        <x:v>2026-09-21|D-1005</x:v>
      </x:c>
      <x:c r="B33" s="69" t="n">
        <x:v>46286</x:v>
      </x:c>
      <x:c r="C33" s="65" t="str">
        <x:v>D-1005</x:v>
      </x:c>
      <x:c r="D33" s="65" t="str">
        <x:v>Elm Analytics</x:v>
      </x:c>
      <x:c r="E33" s="65" t="str">
        <x:v>Elm Systems</x:v>
      </x:c>
      <x:c r="F33" s="65" t="str">
        <x:v>Eli</x:v>
      </x:c>
      <x:c r="G33" s="65" t="str">
        <x:v>Qualified</x:v>
      </x:c>
      <x:c r="H33" s="70" t="n">
        <x:v>40000</x:v>
      </x:c>
      <x:c r="I33" s="69" t="n">
        <x:v>46327</x:v>
      </x:c>
      <x:c r="J33" s="69" t="n">
        <x:v>46274</x:v>
      </x:c>
      <x:c r="K33" s="69" t="n">
        <x:v>46287</x:v>
      </x:c>
      <x:c r="L33" s="65" t="str">
        <x:v>Pipeline</x:v>
      </x:c>
      <x:c r="M33" s="65" t="str">
        <x:v>New</x:v>
      </x:c>
      <x:c r="N33" s="69" t="n">
        <x:v>46266</x:v>
      </x:c>
      <x:c r="O33" s="58" t="n">
        <x:v>2</x:v>
      </x:c>
      <x:c r="P33" s="58" t="str">
        <x:v>Open</x:v>
      </x:c>
      <x:c r="Q33" s="79" t="n">
        <x:v>10000</x:v>
      </x:c>
    </x:row>
    <x:row r="34" ht="15" hidden="0" customHeight="1">
      <x:c r="A34" s="65" t="str">
        <x:v>2026-09-21|D-1006</x:v>
      </x:c>
      <x:c r="B34" s="69" t="n">
        <x:v>46286</x:v>
      </x:c>
      <x:c r="C34" s="65" t="str">
        <x:v>D-1006</x:v>
      </x:c>
      <x:c r="D34" s="65" t="str">
        <x:v>Fjord Upgrade</x:v>
      </x:c>
      <x:c r="E34" s="65" t="str">
        <x:v>Fjord Health</x:v>
      </x:c>
      <x:c r="F34" s="65" t="str">
        <x:v>Amara</x:v>
      </x:c>
      <x:c r="G34" s="65" t="str">
        <x:v>Evaluation</x:v>
      </x:c>
      <x:c r="H34" s="70" t="n">
        <x:v>70000</x:v>
      </x:c>
      <x:c r="I34" s="69" t="n">
        <x:v>46310</x:v>
      </x:c>
      <x:c r="J34" s="69" t="n">
        <x:v>46268</x:v>
      </x:c>
      <x:c r="K34" s="69" t="n">
        <x:v>46282</x:v>
      </x:c>
      <x:c r="L34" s="65" t="str">
        <x:v>Best Case</x:v>
      </x:c>
      <x:c r="M34" s="65" t="str">
        <x:v>Expansion</x:v>
      </x:c>
      <x:c r="N34" s="69" t="n">
        <x:v>46193</x:v>
      </x:c>
      <x:c r="O34" s="58" t="n">
        <x:v>3</x:v>
      </x:c>
      <x:c r="P34" s="58" t="str">
        <x:v>Open</x:v>
      </x:c>
      <x:c r="Q34" s="79" t="n">
        <x:v>35000</x:v>
      </x:c>
    </x:row>
    <x:row r="35" ht="15" hidden="0" customHeight="1">
      <x:c r="A35" s="65" t="str">
        <x:v>2026-09-21|D-1007</x:v>
      </x:c>
      <x:c r="B35" s="69" t="n">
        <x:v>46286</x:v>
      </x:c>
      <x:c r="C35" s="65" t="str">
        <x:v>D-1007</x:v>
      </x:c>
      <x:c r="D35" s="65" t="str">
        <x:v>Grove Renewal</x:v>
      </x:c>
      <x:c r="E35" s="65" t="str">
        <x:v>Grove Media</x:v>
      </x:c>
      <x:c r="F35" s="65" t="str">
        <x:v>Ben</x:v>
      </x:c>
      <x:c r="G35" s="65" t="str">
        <x:v>Negotiation</x:v>
      </x:c>
      <x:c r="H35" s="70" t="n">
        <x:v>65000</x:v>
      </x:c>
      <x:c r="I35" s="69" t="n">
        <x:v>46315</x:v>
      </x:c>
      <x:c r="J35" s="69" t="n">
        <x:v>46277</x:v>
      </x:c>
      <x:c r="K35" s="69" t="n">
        <x:v>46281</x:v>
      </x:c>
      <x:c r="L35" s="65" t="str">
        <x:v>Commit</x:v>
      </x:c>
      <x:c r="M35" s="65" t="str">
        <x:v>Renewal</x:v>
      </x:c>
      <x:c r="N35" s="69" t="n">
        <x:v>46127</x:v>
      </x:c>
      <x:c r="O35" s="58" t="n">
        <x:v>4</x:v>
      </x:c>
      <x:c r="P35" s="58" t="str">
        <x:v>Open</x:v>
      </x:c>
      <x:c r="Q35" s="79" t="n">
        <x:v>48750</x:v>
      </x:c>
    </x:row>
    <x:row r="36" ht="15" hidden="0" customHeight="1">
      <x:c r="A36" s="65" t="str">
        <x:v>2026-09-21|D-1008</x:v>
      </x:c>
      <x:c r="B36" s="69" t="n">
        <x:v>46286</x:v>
      </x:c>
      <x:c r="C36" s="65" t="str">
        <x:v>D-1008</x:v>
      </x:c>
      <x:c r="D36" s="65" t="str">
        <x:v>Harbor Suite</x:v>
      </x:c>
      <x:c r="E36" s="65" t="str">
        <x:v>Harbor Co</x:v>
      </x:c>
      <x:c r="F36" s="65" t="str">
        <x:v>Chen</x:v>
      </x:c>
      <x:c r="G36" s="65" t="str">
        <x:v>Discovery</x:v>
      </x:c>
      <x:c r="H36" s="70" t="n">
        <x:v>55000</x:v>
      </x:c>
      <x:c r="I36" s="69" t="n">
        <x:v>46310</x:v>
      </x:c>
      <x:c r="J36" s="69" t="n">
        <x:v>46273</x:v>
      </x:c>
      <x:c r="K36" s="69" t="n">
        <x:v>46285</x:v>
      </x:c>
      <x:c r="L36" s="65" t="str">
        <x:v>Pipeline</x:v>
      </x:c>
      <x:c r="M36" s="65" t="str">
        <x:v>New</x:v>
      </x:c>
      <x:c r="N36" s="69" t="n">
        <x:v>46225</x:v>
      </x:c>
      <x:c r="O36" s="58" t="n">
        <x:v>1</x:v>
      </x:c>
      <x:c r="P36" s="58" t="str">
        <x:v>Open</x:v>
      </x:c>
      <x:c r="Q36" s="79" t="n">
        <x:v>5500</x:v>
      </x:c>
    </x:row>
    <x:row r="37" ht="15" hidden="0" customHeight="1">
      <x:c r="A37" s="65" t="str">
        <x:v>2026-09-21|D-1009</x:v>
      </x:c>
      <x:c r="B37" s="69" t="n">
        <x:v>46286</x:v>
      </x:c>
      <x:c r="C37" s="65" t="str">
        <x:v>D-1009</x:v>
      </x:c>
      <x:c r="D37" s="65" t="str">
        <x:v>Ion Services</x:v>
      </x:c>
      <x:c r="E37" s="65" t="str">
        <x:v>Ion Partners</x:v>
      </x:c>
      <x:c r="F37" s="65" t="str">
        <x:v>Deepa</x:v>
      </x:c>
      <x:c r="G37" s="65" t="str">
        <x:v>Discovery</x:v>
      </x:c>
      <x:c r="H37" s="70" t="n">
        <x:v>35000</x:v>
      </x:c>
      <x:c r="I37" s="69" t="n">
        <x:v>46325</x:v>
      </x:c>
      <x:c r="J37" s="69" t="n">
        <x:v>46254</x:v>
      </x:c>
      <x:c r="K37" s="69"/>
      <x:c r="L37" s="65" t="str">
        <x:v>Pipeline</x:v>
      </x:c>
      <x:c r="M37" s="65" t="str">
        <x:v>New</x:v>
      </x:c>
      <x:c r="N37" s="69" t="n">
        <x:v>46218</x:v>
      </x:c>
      <x:c r="O37" s="58" t="n">
        <x:v>1</x:v>
      </x:c>
      <x:c r="P37" s="58" t="str">
        <x:v>Open</x:v>
      </x:c>
      <x:c r="Q37" s="79" t="n">
        <x:v>3500</x:v>
      </x:c>
    </x:row>
    <x:row r="38" ht="15" hidden="0" customHeight="1">
      <x:c r="A38" s="65" t="str">
        <x:v>2026-09-21|D-1010</x:v>
      </x:c>
      <x:c r="B38" s="69" t="n">
        <x:v>46286</x:v>
      </x:c>
      <x:c r="C38" s="65" t="str">
        <x:v>D-1010</x:v>
      </x:c>
      <x:c r="D38" s="65" t="str">
        <x:v>Juniper Cloud</x:v>
      </x:c>
      <x:c r="E38" s="65" t="str">
        <x:v>Juniper PLC</x:v>
      </x:c>
      <x:c r="F38" s="65" t="str">
        <x:v>Eli</x:v>
      </x:c>
      <x:c r="G38" s="65" t="str">
        <x:v>Evaluation</x:v>
      </x:c>
      <x:c r="H38" s="70" t="n">
        <x:v>95000</x:v>
      </x:c>
      <x:c r="I38" s="69" t="n">
        <x:v>46303</x:v>
      </x:c>
      <x:c r="J38" s="69" t="n">
        <x:v>46259</x:v>
      </x:c>
      <x:c r="K38" s="69" t="n">
        <x:v>46284</x:v>
      </x:c>
      <x:c r="L38" s="65" t="str">
        <x:v>Best Case</x:v>
      </x:c>
      <x:c r="M38" s="65" t="str">
        <x:v>New</x:v>
      </x:c>
      <x:c r="N38" s="69" t="n">
        <x:v>46172</x:v>
      </x:c>
      <x:c r="O38" s="58" t="n">
        <x:v>3</x:v>
      </x:c>
      <x:c r="P38" s="58" t="str">
        <x:v>Open</x:v>
      </x:c>
      <x:c r="Q38" s="79" t="n">
        <x:v>47500</x:v>
      </x:c>
    </x:row>
    <x:row r="39" ht="15" hidden="0" customHeight="1">
      <x:c r="A39" s="65" t="str">
        <x:v>2026-09-21|D-1011</x:v>
      </x:c>
      <x:c r="B39" s="69" t="n">
        <x:v>46286</x:v>
      </x:c>
      <x:c r="C39" s="65" t="str">
        <x:v>D-1011</x:v>
      </x:c>
      <x:c r="D39" s="65" t="str">
        <x:v>Kite Security</x:v>
      </x:c>
      <x:c r="E39" s="65" t="str">
        <x:v>Kite Ltd</x:v>
      </x:c>
      <x:c r="F39" s="65" t="str">
        <x:v>Amara</x:v>
      </x:c>
      <x:c r="G39" s="65" t="str">
        <x:v>Qualified</x:v>
      </x:c>
      <x:c r="H39" s="70" t="n">
        <x:v>50000</x:v>
      </x:c>
      <x:c r="I39" s="69"/>
      <x:c r="J39" s="69" t="n">
        <x:v>46278</x:v>
      </x:c>
      <x:c r="K39" s="69" t="n">
        <x:v>46286</x:v>
      </x:c>
      <x:c r="L39" s="65" t="str">
        <x:v>Pipeline</x:v>
      </x:c>
      <x:c r="M39" s="65" t="str">
        <x:v>New</x:v>
      </x:c>
      <x:c r="N39" s="69" t="n">
        <x:v>46254</x:v>
      </x:c>
      <x:c r="O39" s="58" t="n">
        <x:v>2</x:v>
      </x:c>
      <x:c r="P39" s="58" t="str">
        <x:v>Open</x:v>
      </x:c>
      <x:c r="Q39" s="79" t="n">
        <x:v>12500</x:v>
      </x:c>
    </x:row>
    <x:row r="40" ht="15" hidden="0" customHeight="1">
      <x:c r="A40" s="65" t="str">
        <x:v>2026-09-21|D-1012</x:v>
      </x:c>
      <x:c r="B40" s="69" t="n">
        <x:v>46286</x:v>
      </x:c>
      <x:c r="C40" s="65" t="str">
        <x:v>D-1012</x:v>
      </x:c>
      <x:c r="D40" s="65" t="str">
        <x:v>Lumen Data</x:v>
      </x:c>
      <x:c r="E40" s="65" t="str">
        <x:v>Lumen Inc</x:v>
      </x:c>
      <x:c r="F40" s="65" t="str">
        <x:v>Ben</x:v>
      </x:c>
      <x:c r="G40" s="65" t="str">
        <x:v>Negotiation</x:v>
      </x:c>
      <x:c r="H40" s="70" t="n">
        <x:v>130000</x:v>
      </x:c>
      <x:c r="I40" s="69" t="n">
        <x:v>46326</x:v>
      </x:c>
      <x:c r="J40" s="69" t="n">
        <x:v>46276</x:v>
      </x:c>
      <x:c r="K40" s="69" t="n">
        <x:v>46283</x:v>
      </x:c>
      <x:c r="L40" s="65" t="str">
        <x:v>Commit</x:v>
      </x:c>
      <x:c r="M40" s="65" t="str">
        <x:v>New</x:v>
      </x:c>
      <x:c r="N40" s="69" t="n">
        <x:v>46132</x:v>
      </x:c>
      <x:c r="O40" s="58" t="n">
        <x:v>4</x:v>
      </x:c>
      <x:c r="P40" s="58" t="str">
        <x:v>Open</x:v>
      </x:c>
      <x:c r="Q40" s="79" t="n">
        <x:v>97500</x:v>
      </x:c>
    </x:row>
    <x:row r="41" ht="15" hidden="0" customHeight="1">
      <x:c r="A41" s="65" t="str">
        <x:v>2026-09-21|D-1013</x:v>
      </x:c>
      <x:c r="B41" s="69" t="n">
        <x:v>46286</x:v>
      </x:c>
      <x:c r="C41" s="65" t="str">
        <x:v>D-1013</x:v>
      </x:c>
      <x:c r="D41" s="65" t="str">
        <x:v>Mosaic Pilot</x:v>
      </x:c>
      <x:c r="E41" s="65" t="str">
        <x:v>Mosaic AI</x:v>
      </x:c>
      <x:c r="F41" s="65" t="str"/>
      <x:c r="G41" s="65" t="str">
        <x:v>Discovery</x:v>
      </x:c>
      <x:c r="H41" s="70" t="n">
        <x:v>30000</x:v>
      </x:c>
      <x:c r="I41" s="69" t="n">
        <x:v>46341</x:v>
      </x:c>
      <x:c r="J41" s="69" t="n">
        <x:v>46263</x:v>
      </x:c>
      <x:c r="K41" s="69" t="n">
        <x:v>46289</x:v>
      </x:c>
      <x:c r="L41" s="65" t="str">
        <x:v>Pipeline</x:v>
      </x:c>
      <x:c r="M41" s="65" t="str">
        <x:v>New</x:v>
      </x:c>
      <x:c r="N41" s="69" t="n">
        <x:v>46268</x:v>
      </x:c>
      <x:c r="O41" s="58" t="n">
        <x:v>1</x:v>
      </x:c>
      <x:c r="P41" s="58" t="str">
        <x:v>Open</x:v>
      </x:c>
      <x:c r="Q41" s="79" t="n">
        <x:v>3000</x:v>
      </x:c>
    </x:row>
    <x:row r="42" ht="15" hidden="0" customHeight="1">
      <x:c r="A42" s="65" t="str">
        <x:v>2026-09-21|D-1014</x:v>
      </x:c>
      <x:c r="B42" s="69" t="n">
        <x:v>46286</x:v>
      </x:c>
      <x:c r="C42" s="65" t="str">
        <x:v>D-1014</x:v>
      </x:c>
      <x:c r="D42" s="65" t="str">
        <x:v>Noble Annual</x:v>
      </x:c>
      <x:c r="E42" s="65" t="str">
        <x:v>Noble Ops</x:v>
      </x:c>
      <x:c r="F42" s="65" t="str">
        <x:v>Chen</x:v>
      </x:c>
      <x:c r="G42" s="65" t="str">
        <x:v>Closed Won</x:v>
      </x:c>
      <x:c r="H42" s="70" t="n">
        <x:v>85000</x:v>
      </x:c>
      <x:c r="I42" s="69" t="n">
        <x:v>46291</x:v>
      </x:c>
      <x:c r="J42" s="69" t="n">
        <x:v>46278</x:v>
      </x:c>
      <x:c r="K42" s="69" t="n">
        <x:v>46282</x:v>
      </x:c>
      <x:c r="L42" s="65" t="str">
        <x:v>Best Case</x:v>
      </x:c>
      <x:c r="M42" s="65" t="str">
        <x:v>New</x:v>
      </x:c>
      <x:c r="N42" s="69" t="n">
        <x:v>46191</x:v>
      </x:c>
      <x:c r="O42" s="58" t="n">
        <x:v>5</x:v>
      </x:c>
      <x:c r="P42" s="58" t="str">
        <x:v>Won</x:v>
      </x:c>
      <x:c r="Q42" s="79" t="n">
        <x:v>85000</x:v>
      </x:c>
    </x:row>
    <x:row r="43" ht="15" hidden="0" customHeight="1">
      <x:c r="A43" s="65" t="str">
        <x:v>2026-09-21|D-1015</x:v>
      </x:c>
      <x:c r="B43" s="69" t="n">
        <x:v>46286</x:v>
      </x:c>
      <x:c r="C43" s="65" t="str">
        <x:v>D-1015</x:v>
      </x:c>
      <x:c r="D43" s="65" t="str">
        <x:v>Orchid Reopen</x:v>
      </x:c>
      <x:c r="E43" s="65" t="str">
        <x:v>Orchid Labs</x:v>
      </x:c>
      <x:c r="F43" s="65" t="str">
        <x:v>Deepa</x:v>
      </x:c>
      <x:c r="G43" s="65" t="str">
        <x:v>Qualified</x:v>
      </x:c>
      <x:c r="H43" s="70" t="n">
        <x:v>45000</x:v>
      </x:c>
      <x:c r="I43" s="69" t="n">
        <x:v>46323</x:v>
      </x:c>
      <x:c r="J43" s="69" t="n">
        <x:v>46270</x:v>
      </x:c>
      <x:c r="K43" s="69" t="n">
        <x:v>46290</x:v>
      </x:c>
      <x:c r="L43" s="65" t="str">
        <x:v>Pipeline</x:v>
      </x:c>
      <x:c r="M43" s="65" t="str">
        <x:v>New</x:v>
      </x:c>
      <x:c r="N43" s="69" t="n">
        <x:v>46152</x:v>
      </x:c>
      <x:c r="O43" s="58" t="n">
        <x:v>2</x:v>
      </x:c>
      <x:c r="P43" s="58" t="str">
        <x:v>Open</x:v>
      </x:c>
      <x:c r="Q43" s="79" t="n">
        <x:v>11250</x:v>
      </x:c>
    </x:row>
    <x:row r="44" ht="15" hidden="0" customHeight="1">
      <x:c r="A44" s="65" t="str">
        <x:v>2026-09-21|D-1016</x:v>
      </x:c>
      <x:c r="B44" s="69" t="n">
        <x:v>46286</x:v>
      </x:c>
      <x:c r="C44" s="65" t="str">
        <x:v>D-1016</x:v>
      </x:c>
      <x:c r="D44" s="65" t="str">
        <x:v>Pine Renewal</x:v>
      </x:c>
      <x:c r="E44" s="65" t="str">
        <x:v>Pine Systems</x:v>
      </x:c>
      <x:c r="F44" s="65" t="str">
        <x:v>Eli</x:v>
      </x:c>
      <x:c r="G44" s="65" t="str">
        <x:v>Negotiation</x:v>
      </x:c>
      <x:c r="H44" s="70" t="n">
        <x:v>105000</x:v>
      </x:c>
      <x:c r="I44" s="69" t="n">
        <x:v>46297</x:v>
      </x:c>
      <x:c r="J44" s="69" t="n">
        <x:v>46278</x:v>
      </x:c>
      <x:c r="K44" s="69" t="n">
        <x:v>46282</x:v>
      </x:c>
      <x:c r="L44" s="65" t="str">
        <x:v>Commit</x:v>
      </x:c>
      <x:c r="M44" s="65" t="str">
        <x:v>Renewal</x:v>
      </x:c>
      <x:c r="N44" s="69" t="n">
        <x:v>46092</x:v>
      </x:c>
      <x:c r="O44" s="58" t="n">
        <x:v>4</x:v>
      </x:c>
      <x:c r="P44" s="58" t="str">
        <x:v>Open</x:v>
      </x:c>
      <x:c r="Q44" s="79" t="n">
        <x:v>78750</x:v>
      </x:c>
    </x:row>
    <x:row r="45" ht="15" hidden="0" customHeight="1">
      <x:c r="A45" s="65" t="str">
        <x:v>2026-09-21|D-1018</x:v>
      </x:c>
      <x:c r="B45" s="69" t="n">
        <x:v>46286</x:v>
      </x:c>
      <x:c r="C45" s="65" t="str">
        <x:v>D-1018</x:v>
      </x:c>
      <x:c r="D45" s="65" t="str">
        <x:v>River Expansion</x:v>
      </x:c>
      <x:c r="E45" s="65" t="str">
        <x:v>River Group</x:v>
      </x:c>
      <x:c r="F45" s="65" t="str">
        <x:v>Ben</x:v>
      </x:c>
      <x:c r="G45" s="65" t="str">
        <x:v>Evaluation</x:v>
      </x:c>
      <x:c r="H45" s="70" t="n">
        <x:v>70000</x:v>
      </x:c>
      <x:c r="I45" s="69" t="n">
        <x:v>46315</x:v>
      </x:c>
      <x:c r="J45" s="69" t="n">
        <x:v>46275</x:v>
      </x:c>
      <x:c r="K45" s="69" t="n">
        <x:v>46283</x:v>
      </x:c>
      <x:c r="L45" s="65" t="str">
        <x:v>Best Case</x:v>
      </x:c>
      <x:c r="M45" s="65" t="str">
        <x:v>Expansion</x:v>
      </x:c>
      <x:c r="N45" s="69" t="n">
        <x:v>46211</x:v>
      </x:c>
      <x:c r="O45" s="58" t="n">
        <x:v>3</x:v>
      </x:c>
      <x:c r="P45" s="58" t="str">
        <x:v>Open</x:v>
      </x:c>
      <x:c r="Q45" s="79" t="n">
        <x:v>35000</x:v>
      </x:c>
    </x:row>
    <x:row r="46" ht="15" hidden="0" customHeight="1">
      <x:c r="A46" s="65" t="str">
        <x:v>2026-09-21|D-1019</x:v>
      </x:c>
      <x:c r="B46" s="69" t="n">
        <x:v>46286</x:v>
      </x:c>
      <x:c r="C46" s="65" t="str">
        <x:v>D-1019</x:v>
      </x:c>
      <x:c r="D46" s="65" t="str">
        <x:v>Summit Plan</x:v>
      </x:c>
      <x:c r="E46" s="65" t="str">
        <x:v>Summit Labs</x:v>
      </x:c>
      <x:c r="F46" s="65" t="str">
        <x:v>Chen</x:v>
      </x:c>
      <x:c r="G46" s="65" t="str">
        <x:v>Qualified</x:v>
      </x:c>
      <x:c r="H46" s="70" t="n">
        <x:v>60000</x:v>
      </x:c>
      <x:c r="I46" s="69" t="n">
        <x:v>46331</x:v>
      </x:c>
      <x:c r="J46" s="69" t="n">
        <x:v>46277</x:v>
      </x:c>
      <x:c r="K46" s="69" t="n">
        <x:v>46286</x:v>
      </x:c>
      <x:c r="L46" s="65" t="str">
        <x:v>Pipeline</x:v>
      </x:c>
      <x:c r="M46" s="65" t="str">
        <x:v>New</x:v>
      </x:c>
      <x:c r="N46" s="69" t="n">
        <x:v>46245</x:v>
      </x:c>
      <x:c r="O46" s="58" t="n">
        <x:v>2</x:v>
      </x:c>
      <x:c r="P46" s="58" t="str">
        <x:v>Open</x:v>
      </x:c>
      <x:c r="Q46" s="79" t="n">
        <x:v>15000</x:v>
      </x:c>
    </x:row>
    <x:row r="47" ht="15" hidden="0" customHeight="1">
      <x:c r="A47" s="65" t="str">
        <x:v>2026-09-21|D-1020</x:v>
      </x:c>
      <x:c r="B47" s="69" t="n">
        <x:v>46286</x:v>
      </x:c>
      <x:c r="C47" s="65" t="str">
        <x:v>D-1020</x:v>
      </x:c>
      <x:c r="D47" s="65" t="str">
        <x:v>Timber Annual</x:v>
      </x:c>
      <x:c r="E47" s="65" t="str">
        <x:v>Timber PLC</x:v>
      </x:c>
      <x:c r="F47" s="65" t="str">
        <x:v>Deepa</x:v>
      </x:c>
      <x:c r="G47" s="65" t="str">
        <x:v>Negotiation</x:v>
      </x:c>
      <x:c r="H47" s="70" t="n">
        <x:v>115000</x:v>
      </x:c>
      <x:c r="I47" s="69" t="n">
        <x:v>46296</x:v>
      </x:c>
      <x:c r="J47" s="69" t="n">
        <x:v>46278</x:v>
      </x:c>
      <x:c r="K47" s="69" t="n">
        <x:v>46281</x:v>
      </x:c>
      <x:c r="L47" s="65" t="str">
        <x:v>Commit</x:v>
      </x:c>
      <x:c r="M47" s="65" t="str">
        <x:v>New</x:v>
      </x:c>
      <x:c r="N47" s="69" t="n">
        <x:v>46144</x:v>
      </x:c>
      <x:c r="O47" s="58" t="n">
        <x:v>4</x:v>
      </x:c>
      <x:c r="P47" s="58" t="str">
        <x:v>Open</x:v>
      </x:c>
      <x:c r="Q47" s="79" t="n">
        <x:v>86250</x:v>
      </x:c>
    </x:row>
    <x:row r="48" ht="15" hidden="0" customHeight="1">
      <x:c r="A48" s="65" t="str">
        <x:v>2026-09-21|D-1021</x:v>
      </x:c>
      <x:c r="B48" s="69" t="n">
        <x:v>46286</x:v>
      </x:c>
      <x:c r="C48" s="65" t="str">
        <x:v>D-1021</x:v>
      </x:c>
      <x:c r="D48" s="65" t="str">
        <x:v>Union Discovery</x:v>
      </x:c>
      <x:c r="E48" s="65" t="str">
        <x:v>Union Works</x:v>
      </x:c>
      <x:c r="F48" s="65" t="str">
        <x:v>Eli</x:v>
      </x:c>
      <x:c r="G48" s="65" t="str">
        <x:v>Discovery</x:v>
      </x:c>
      <x:c r="H48" s="70" t="n">
        <x:v>0</x:v>
      </x:c>
      <x:c r="I48" s="69" t="n">
        <x:v>46346</x:v>
      </x:c>
      <x:c r="J48" s="69" t="n">
        <x:v>46275</x:v>
      </x:c>
      <x:c r="K48" s="69" t="n">
        <x:v>46288</x:v>
      </x:c>
      <x:c r="L48" s="65" t="str">
        <x:v>Pipeline</x:v>
      </x:c>
      <x:c r="M48" s="65" t="str">
        <x:v>New</x:v>
      </x:c>
      <x:c r="N48" s="69" t="n">
        <x:v>46273</x:v>
      </x:c>
      <x:c r="O48" s="58" t="n">
        <x:v>1</x:v>
      </x:c>
      <x:c r="P48" s="58" t="str">
        <x:v>Open</x:v>
      </x:c>
      <x:c r="Q48" s="79" t="n">
        <x:v>0</x:v>
      </x:c>
    </x:row>
    <x:row r="49" ht="15" hidden="0" customHeight="1">
      <x:c r="A49" s="65" t="str">
        <x:v>2026-09-21|D-1022</x:v>
      </x:c>
      <x:c r="B49" s="69" t="n">
        <x:v>46286</x:v>
      </x:c>
      <x:c r="C49" s="65" t="str">
        <x:v>D-1022</x:v>
      </x:c>
      <x:c r="D49" s="65" t="str">
        <x:v>Vale Platform</x:v>
      </x:c>
      <x:c r="E49" s="65" t="str">
        <x:v>Vale Health</x:v>
      </x:c>
      <x:c r="F49" s="65" t="str">
        <x:v>Amara</x:v>
      </x:c>
      <x:c r="G49" s="65" t="str">
        <x:v>Evaluation</x:v>
      </x:c>
      <x:c r="H49" s="70" t="n">
        <x:v>75000</x:v>
      </x:c>
      <x:c r="I49" s="69" t="n">
        <x:v>46313</x:v>
      </x:c>
      <x:c r="J49" s="69" t="n">
        <x:v>46276</x:v>
      </x:c>
      <x:c r="K49" s="69" t="n">
        <x:v>46285</x:v>
      </x:c>
      <x:c r="L49" s="65" t="str">
        <x:v>Best Case</x:v>
      </x:c>
      <x:c r="M49" s="65" t="str">
        <x:v>New</x:v>
      </x:c>
      <x:c r="N49" s="69" t="n">
        <x:v>46229</x:v>
      </x:c>
      <x:c r="O49" s="58" t="n">
        <x:v>3</x:v>
      </x:c>
      <x:c r="P49" s="58" t="str">
        <x:v>Open</x:v>
      </x:c>
      <x:c r="Q49" s="79" t="n">
        <x:v>37500</x:v>
      </x:c>
    </x:row>
    <x:row r="50" ht="15" hidden="0" customHeight="1">
      <x:c r="A50" s="65" t="str">
        <x:v>2026-09-21|D-1023</x:v>
      </x:c>
      <x:c r="B50" s="69" t="n">
        <x:v>46286</x:v>
      </x:c>
      <x:c r="C50" s="65" t="str">
        <x:v>D-1023</x:v>
      </x:c>
      <x:c r="D50" s="65" t="str">
        <x:v>Willow Launch</x:v>
      </x:c>
      <x:c r="E50" s="65" t="str">
        <x:v>Willow Co</x:v>
      </x:c>
      <x:c r="F50" s="65" t="str">
        <x:v>Ben</x:v>
      </x:c>
      <x:c r="G50" s="65" t="str">
        <x:v>Qualified</x:v>
      </x:c>
      <x:c r="H50" s="70" t="n">
        <x:v>88000</x:v>
      </x:c>
      <x:c r="I50" s="69" t="n">
        <x:v>46336</x:v>
      </x:c>
      <x:c r="J50" s="69" t="n">
        <x:v>46285</x:v>
      </x:c>
      <x:c r="K50" s="69" t="n">
        <x:v>46290</x:v>
      </x:c>
      <x:c r="L50" s="65" t="str">
        <x:v>Pipeline</x:v>
      </x:c>
      <x:c r="M50" s="65" t="str">
        <x:v>New</x:v>
      </x:c>
      <x:c r="N50" s="69" t="n">
        <x:v>46282</x:v>
      </x:c>
      <x:c r="O50" s="58" t="n">
        <x:v>2</x:v>
      </x:c>
      <x:c r="P50" s="58" t="str">
        <x:v>Open</x:v>
      </x:c>
      <x:c r="Q50" s="79" t="n">
        <x:v>22000</x:v>
      </x:c>
    </x:row>
    <x:row r="51" ht="15" hidden="0" customHeight="1">
      <x:c r="A51" s="65" t="str">
        <x:v>2026-09-21|D-1024</x:v>
      </x:c>
      <x:c r="B51" s="69" t="n">
        <x:v>46286</x:v>
      </x:c>
      <x:c r="C51" s="65" t="str">
        <x:v>D-1024</x:v>
      </x:c>
      <x:c r="D51" s="65" t="str">
        <x:v>Zenith Pilot</x:v>
      </x:c>
      <x:c r="E51" s="65" t="str">
        <x:v>Zenith AI</x:v>
      </x:c>
      <x:c r="F51" s="65" t="str">
        <x:v>Chen</x:v>
      </x:c>
      <x:c r="G51" s="65" t="str">
        <x:v>Discovery</x:v>
      </x:c>
      <x:c r="H51" s="70" t="n">
        <x:v>52000</x:v>
      </x:c>
      <x:c r="I51" s="69" t="n">
        <x:v>46356</x:v>
      </x:c>
      <x:c r="J51" s="69" t="n">
        <x:v>46283</x:v>
      </x:c>
      <x:c r="K51" s="69" t="n">
        <x:v>46291</x:v>
      </x:c>
      <x:c r="L51" s="65" t="str">
        <x:v>Pipeline</x:v>
      </x:c>
      <x:c r="M51" s="65" t="str">
        <x:v>New</x:v>
      </x:c>
      <x:c r="N51" s="69" t="n">
        <x:v>46283</x:v>
      </x:c>
      <x:c r="O51" s="58" t="n">
        <x:v>1</x:v>
      </x:c>
      <x:c r="P51" s="58" t="str">
        <x:v>Open</x:v>
      </x:c>
      <x:c r="Q51" s="79" t="n">
        <x:v>5200</x:v>
      </x:c>
    </x:row>
  </x:sheetData>
  <x:mergeCells>
    <x:mergeCell ref="A2:Q2"/>
    <x:mergeCell ref="A3:Q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E7EBEF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2" hidden="0" customWidth="1"/>
    <x:col min="2" max="2" width="28" hidden="0" customWidth="1"/>
    <x:col min="3" max="3" width="34" hidden="0" customWidth="1"/>
    <x:col min="4" max="4" width="24" hidden="0" customWidth="1"/>
    <x:col min="5" max="5" width="22" hidden="0" customWidth="1"/>
    <x:col min="6" max="6" width="28" hidden="0" customWidth="1"/>
    <x:col min="7" max="7" width="13" hidden="0" customWidth="1"/>
    <x:col min="8" max="8" width="15" hidden="0" customWidth="1"/>
    <x:col min="9" max="9" width="25" hidden="0" customWidth="1"/>
    <x:col min="10" max="10" width="18" hidden="0" customWidth="1"/>
    <x:col min="11" max="11" width="17" hidden="0" customWidth="1"/>
    <x:col min="12" max="12" width="30" hidden="0" customWidth="1"/>
    <x:col min="13" max="13" width="15" hidden="0" customWidth="1"/>
    <x:col min="14" max="14" width="13" hidden="0" customWidth="1"/>
    <x:col min="15" max="15" width="16" hidden="0" customWidth="1"/>
    <x:col min="16" max="16" width="18" hidden="0" customWidth="1"/>
    <x:col min="17" max="17" width="30" hidden="0" customWidth="1"/>
  </x:cols>
  <x:sheetData>
    <x:row r="2" ht="18" hidden="0" customHeight="1">
      <x:c r="A2" s="57" t="str">
        <x:v>KPI dictionary</x:v>
      </x:c>
      <x:c r="B2" s="58"/>
      <x:c r="C2" s="58"/>
      <x:c r="D2" s="58"/>
      <x:c r="E2" s="58"/>
      <x:c r="F2" s="58"/>
      <x:c r="G2" s="58"/>
      <x:c r="H2" s="58"/>
      <x:c r="I2" s="58"/>
      <x:c r="J2" s="58"/>
      <x:c r="K2" s="58"/>
      <x:c r="L2" s="58"/>
      <x:c r="M2" s="58"/>
      <x:c r="N2" s="58"/>
      <x:c r="O2" s="58"/>
      <x:c r="P2" s="58"/>
      <x:c r="Q2" s="58"/>
    </x:row>
    <x:row r="3" ht="15" hidden="0" customHeight="1">
      <x:c r="A3" s="59" t="str">
        <x:v>Approve definitions, grain, cutoff, and caveats before comparing periods.</x:v>
      </x:c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  <x:c r="J4" s="60"/>
      <x:c r="K4" s="60"/>
      <x:c r="L4" s="60"/>
      <x:c r="M4" s="60"/>
      <x:c r="N4" s="60"/>
      <x:c r="O4" s="60"/>
      <x:c r="P4" s="60"/>
      <x:c r="Q4" s="60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  <x:c r="J5" s="58"/>
      <x:c r="K5" s="58"/>
      <x:c r="L5" s="58"/>
      <x:c r="M5" s="58"/>
      <x:c r="N5" s="58"/>
      <x:c r="O5" s="58"/>
      <x:c r="P5" s="58"/>
      <x:c r="Q5" s="58"/>
    </x:row>
    <x:row r="6" ht="15" hidden="0" customHeight="1">
      <x:c r="A6" s="66" t="str">
        <x:v>KPI</x:v>
      </x:c>
      <x:c r="B6" s="67" t="str">
        <x:v>Business question</x:v>
      </x:c>
      <x:c r="C6" s="67" t="str">
        <x:v>Definition</x:v>
      </x:c>
      <x:c r="D6" s="67" t="str">
        <x:v>Numerator</x:v>
      </x:c>
      <x:c r="E6" s="67" t="str">
        <x:v>Denominator</x:v>
      </x:c>
      <x:c r="F6" s="67" t="str">
        <x:v>Formula</x:v>
      </x:c>
      <x:c r="G6" s="67" t="str">
        <x:v>Unit</x:v>
      </x:c>
      <x:c r="H6" s="67" t="str">
        <x:v>Grain</x:v>
      </x:c>
      <x:c r="I6" s="67" t="str">
        <x:v>Cohort rule</x:v>
      </x:c>
      <x:c r="J6" s="67" t="str">
        <x:v>Cutoff rule</x:v>
      </x:c>
      <x:c r="K6" s="67" t="str">
        <x:v>Source object</x:v>
      </x:c>
      <x:c r="L6" s="67" t="str">
        <x:v>Source fields</x:v>
      </x:c>
      <x:c r="M6" s="67" t="str">
        <x:v>Owner</x:v>
      </x:c>
      <x:c r="N6" s="67" t="str">
        <x:v>Cadence</x:v>
      </x:c>
      <x:c r="O6" s="67" t="str">
        <x:v>Target</x:v>
      </x:c>
      <x:c r="P6" s="67" t="str">
        <x:v>Warning</x:v>
      </x:c>
      <x:c r="Q6" s="68" t="str">
        <x:v>Known caveat</x:v>
      </x:c>
    </x:row>
    <x:row r="7" ht="15" hidden="0" customHeight="1">
      <x:c r="A7" s="58" t="str">
        <x:v>Bookings</x:v>
      </x:c>
      <x:c r="B7" s="58" t="str">
        <x:v>What value closed won?</x:v>
      </x:c>
      <x:c r="C7" s="58" t="str">
        <x:v>Closed-won deal amount</x:v>
      </x:c>
      <x:c r="D7" s="58" t="str">
        <x:v>Won amount</x:v>
      </x:c>
      <x:c r="E7" s="58" t="str">
        <x:v>n.a.</x:v>
      </x:c>
      <x:c r="F7" s="58" t="str">
        <x:v>SUM won amount</x:v>
      </x:c>
      <x:c r="G7" s="58" t="str">
        <x:v>Currency</x:v>
      </x:c>
      <x:c r="H7" s="58" t="str">
        <x:v>Deal</x:v>
      </x:c>
      <x:c r="I7" s="58" t="str">
        <x:v>Close date in period</x:v>
      </x:c>
      <x:c r="J7" s="58" t="str">
        <x:v>Fixed cutoff</x:v>
      </x:c>
      <x:c r="K7" s="58" t="str">
        <x:v>Deal</x:v>
      </x:c>
      <x:c r="L7" s="58" t="str">
        <x:v>amount, stage, close date</x:v>
      </x:c>
      <x:c r="M7" s="65" t="str">
        <x:v>Finance</x:v>
      </x:c>
      <x:c r="N7" s="65" t="str">
        <x:v>Monthly</x:v>
      </x:c>
      <x:c r="O7" s="65" t="str">
        <x:v>Annual plan</x:v>
      </x:c>
      <x:c r="P7" s="65" t="str">
        <x:v>Below plan</x:v>
      </x:c>
      <x:c r="Q7" s="65" t="str">
        <x:v>Not recognized revenue</x:v>
      </x:c>
    </x:row>
    <x:row r="8" ht="15" hidden="0" customHeight="1">
      <x:c r="A8" s="58" t="str">
        <x:v>Open pipeline</x:v>
      </x:c>
      <x:c r="B8" s="58" t="str">
        <x:v>What value remains open?</x:v>
      </x:c>
      <x:c r="C8" s="58" t="str">
        <x:v>Amount for open deals</x:v>
      </x:c>
      <x:c r="D8" s="58" t="str">
        <x:v>Open amount</x:v>
      </x:c>
      <x:c r="E8" s="58" t="str">
        <x:v>n.a.</x:v>
      </x:c>
      <x:c r="F8" s="58" t="str">
        <x:v>SUM open amount</x:v>
      </x:c>
      <x:c r="G8" s="58" t="str">
        <x:v>Currency</x:v>
      </x:c>
      <x:c r="H8" s="58" t="str">
        <x:v>Deal snapshot</x:v>
      </x:c>
      <x:c r="I8" s="58" t="str">
        <x:v>Selected pipeline</x:v>
      </x:c>
      <x:c r="J8" s="58" t="str">
        <x:v>Snapshot date</x:v>
      </x:c>
      <x:c r="K8" s="58" t="str">
        <x:v>Deal</x:v>
      </x:c>
      <x:c r="L8" s="58" t="str">
        <x:v>amount, stage</x:v>
      </x:c>
      <x:c r="M8" s="65" t="str">
        <x:v>RevOps</x:v>
      </x:c>
      <x:c r="N8" s="65" t="str">
        <x:v>Weekly</x:v>
      </x:c>
      <x:c r="O8" s="65" t="str">
        <x:v>n.a.</x:v>
      </x:c>
      <x:c r="P8" s="65" t="str">
        <x:v>Below coverage need</x:v>
      </x:c>
      <x:c r="Q8" s="65" t="str">
        <x:v>Sensitive to stale records</x:v>
      </x:c>
    </x:row>
    <x:row r="9" ht="15" hidden="0" customHeight="1">
      <x:c r="A9" s="58" t="str">
        <x:v>Weighted pipeline</x:v>
      </x:c>
      <x:c r="B9" s="58" t="str">
        <x:v>What stage-weighted value remains?</x:v>
      </x:c>
      <x:c r="C9" s="58" t="str">
        <x:v>Open amount times stage probability</x:v>
      </x:c>
      <x:c r="D9" s="58" t="str">
        <x:v>Weighted amount</x:v>
      </x:c>
      <x:c r="E9" s="58" t="str">
        <x:v>n.a.</x:v>
      </x:c>
      <x:c r="F9" s="58" t="str">
        <x:v>SUM(amount x probability)</x:v>
      </x:c>
      <x:c r="G9" s="58" t="str">
        <x:v>Currency</x:v>
      </x:c>
      <x:c r="H9" s="58" t="str">
        <x:v>Deal snapshot</x:v>
      </x:c>
      <x:c r="I9" s="58" t="str">
        <x:v>Open deals</x:v>
      </x:c>
      <x:c r="J9" s="58" t="str">
        <x:v>Snapshot date</x:v>
      </x:c>
      <x:c r="K9" s="58" t="str">
        <x:v>Deal</x:v>
      </x:c>
      <x:c r="L9" s="58" t="str">
        <x:v>amount, stage</x:v>
      </x:c>
      <x:c r="M9" s="65" t="str">
        <x:v>Sales Ops</x:v>
      </x:c>
      <x:c r="N9" s="65" t="str">
        <x:v>Weekly</x:v>
      </x:c>
      <x:c r="O9" s="65" t="str">
        <x:v>n.a.</x:v>
      </x:c>
      <x:c r="P9" s="65" t="str">
        <x:v>n.a.</x:v>
      </x:c>
      <x:c r="Q9" s="65" t="str">
        <x:v>Probability is an assumption</x:v>
      </x:c>
    </x:row>
    <x:row r="10" ht="15" hidden="0" customHeight="1">
      <x:c r="A10" s="58" t="str">
        <x:v>Forecast</x:v>
      </x:c>
      <x:c r="B10" s="58" t="str">
        <x:v>What result is currently expected?</x:v>
      </x:c>
      <x:c r="C10" s="58" t="str">
        <x:v>Closed bookings plus selected categories</x:v>
      </x:c>
      <x:c r="D10" s="58" t="str">
        <x:v>Closed plus selected open amount</x:v>
      </x:c>
      <x:c r="E10" s="58" t="str">
        <x:v>n.a.</x:v>
      </x:c>
      <x:c r="F10" s="58" t="str">
        <x:v>Closed + selected open</x:v>
      </x:c>
      <x:c r="G10" s="58" t="str">
        <x:v>Currency</x:v>
      </x:c>
      <x:c r="H10" s="58" t="str">
        <x:v>Period</x:v>
      </x:c>
      <x:c r="I10" s="58" t="str">
        <x:v>Document included categories</x:v>
      </x:c>
      <x:c r="J10" s="58" t="str">
        <x:v>Snapshot date</x:v>
      </x:c>
      <x:c r="K10" s="58" t="str">
        <x:v>Deal</x:v>
      </x:c>
      <x:c r="L10" s="58" t="str">
        <x:v>stage, forecast category, amount</x:v>
      </x:c>
      <x:c r="M10" s="65" t="str">
        <x:v>Sales</x:v>
      </x:c>
      <x:c r="N10" s="65" t="str">
        <x:v>Weekly</x:v>
      </x:c>
      <x:c r="O10" s="65" t="str">
        <x:v>Target</x:v>
      </x:c>
      <x:c r="P10" s="65" t="str">
        <x:v>Below target</x:v>
      </x:c>
      <x:c r="Q10" s="65" t="str">
        <x:v>Category evidence varies</x:v>
      </x:c>
    </x:row>
    <x:row r="11" ht="15" hidden="0" customHeight="1">
      <x:c r="A11" s="58" t="str">
        <x:v>Target attainment</x:v>
      </x:c>
      <x:c r="B11" s="58" t="str">
        <x:v>How much of target is closed?</x:v>
      </x:c>
      <x:c r="C11" s="58" t="str">
        <x:v>Closed bookings divided by target</x:v>
      </x:c>
      <x:c r="D11" s="58" t="str">
        <x:v>Closed bookings</x:v>
      </x:c>
      <x:c r="E11" s="58" t="str">
        <x:v>Target</x:v>
      </x:c>
      <x:c r="F11" s="58" t="str">
        <x:v>Closed / target</x:v>
      </x:c>
      <x:c r="G11" s="58" t="str">
        <x:v>Percent</x:v>
      </x:c>
      <x:c r="H11" s="58" t="str">
        <x:v>Period</x:v>
      </x:c>
      <x:c r="I11" s="58" t="str">
        <x:v>Same booking basis</x:v>
      </x:c>
      <x:c r="J11" s="58" t="str">
        <x:v>Period end</x:v>
      </x:c>
      <x:c r="K11" s="58" t="str">
        <x:v>Plan and deals</x:v>
      </x:c>
      <x:c r="L11" s="58" t="str">
        <x:v>target, amount</x:v>
      </x:c>
      <x:c r="M11" s="65" t="str">
        <x:v>Finance</x:v>
      </x:c>
      <x:c r="N11" s="65" t="str">
        <x:v>Monthly</x:v>
      </x:c>
      <x:c r="O11" s="65" t="str">
        <x:v>100%</x:v>
      </x:c>
      <x:c r="P11" s="65" t="str">
        <x:v>Below plan</x:v>
      </x:c>
      <x:c r="Q11" s="65" t="str">
        <x:v>Basis must match</x:v>
      </x:c>
    </x:row>
    <x:row r="12" ht="15" hidden="0" customHeight="1">
      <x:c r="A12" s="58" t="str">
        <x:v>Forecast gap</x:v>
      </x:c>
      <x:c r="B12" s="58" t="str">
        <x:v>How far is forecast from target?</x:v>
      </x:c>
      <x:c r="C12" s="58" t="str">
        <x:v>Target minus forecast</x:v>
      </x:c>
      <x:c r="D12" s="58" t="str">
        <x:v>Target less forecast</x:v>
      </x:c>
      <x:c r="E12" s="58" t="str">
        <x:v>n.a.</x:v>
      </x:c>
      <x:c r="F12" s="58" t="str">
        <x:v>Target - forecast</x:v>
      </x:c>
      <x:c r="G12" s="58" t="str">
        <x:v>Currency</x:v>
      </x:c>
      <x:c r="H12" s="58" t="str">
        <x:v>Period</x:v>
      </x:c>
      <x:c r="I12" s="58" t="str">
        <x:v>Same basis</x:v>
      </x:c>
      <x:c r="J12" s="58" t="str">
        <x:v>Snapshot date</x:v>
      </x:c>
      <x:c r="K12" s="58" t="str">
        <x:v>Plan and deals</x:v>
      </x:c>
      <x:c r="L12" s="58" t="str">
        <x:v>target, forecast</x:v>
      </x:c>
      <x:c r="M12" s="65" t="str">
        <x:v>Finance</x:v>
      </x:c>
      <x:c r="N12" s="65" t="str">
        <x:v>Weekly</x:v>
      </x:c>
      <x:c r="O12" s="65" t="str">
        <x:v>0</x:v>
      </x:c>
      <x:c r="P12" s="65" t="str">
        <x:v>Positive gap</x:v>
      </x:c>
      <x:c r="Q12" s="65" t="str">
        <x:v>Scenario-specific</x:v>
      </x:c>
    </x:row>
    <x:row r="13" ht="15" hidden="0" customHeight="1">
      <x:c r="A13" s="58" t="str">
        <x:v>Coverage ratio</x:v>
      </x:c>
      <x:c r="B13" s="58" t="str">
        <x:v>Is enough pipeline available?</x:v>
      </x:c>
      <x:c r="C13" s="58" t="str">
        <x:v>Open pipeline divided by target gap</x:v>
      </x:c>
      <x:c r="D13" s="58" t="str">
        <x:v>Open pipeline</x:v>
      </x:c>
      <x:c r="E13" s="58" t="str">
        <x:v>Target gap</x:v>
      </x:c>
      <x:c r="F13" s="58" t="str">
        <x:v>Pipeline / gap</x:v>
      </x:c>
      <x:c r="G13" s="58" t="str">
        <x:v>Ratio</x:v>
      </x:c>
      <x:c r="H13" s="58" t="str">
        <x:v>Period</x:v>
      </x:c>
      <x:c r="I13" s="58" t="str">
        <x:v>Open deals</x:v>
      </x:c>
      <x:c r="J13" s="58" t="str">
        <x:v>Snapshot date</x:v>
      </x:c>
      <x:c r="K13" s="58" t="str">
        <x:v>Deals and plan</x:v>
      </x:c>
      <x:c r="L13" s="58" t="str">
        <x:v>amount, target</x:v>
      </x:c>
      <x:c r="M13" s="65" t="str">
        <x:v>Sales</x:v>
      </x:c>
      <x:c r="N13" s="65" t="str">
        <x:v>Weekly</x:v>
      </x:c>
      <x:c r="O13" s="65" t="str">
        <x:v>3.0x</x:v>
      </x:c>
      <x:c r="P13" s="65" t="str">
        <x:v>Below 3.0x</x:v>
      </x:c>
      <x:c r="Q13" s="65" t="str">
        <x:v>Blank when gap is zero</x:v>
      </x:c>
    </x:row>
    <x:row r="14" ht="15" hidden="0" customHeight="1">
      <x:c r="A14" s="58" t="str">
        <x:v>Created pipeline</x:v>
      </x:c>
      <x:c r="B14" s="58" t="str">
        <x:v>What new value entered?</x:v>
      </x:c>
      <x:c r="C14" s="58" t="str">
        <x:v>Current open deals absent in prior snapshot</x:v>
      </x:c>
      <x:c r="D14" s="58" t="str">
        <x:v>Created amount</x:v>
      </x:c>
      <x:c r="E14" s="58" t="str">
        <x:v>n.a.</x:v>
      </x:c>
      <x:c r="F14" s="58" t="str">
        <x:v>SUM created</x:v>
      </x:c>
      <x:c r="G14" s="58" t="str">
        <x:v>Currency</x:v>
      </x:c>
      <x:c r="H14" s="58" t="str">
        <x:v>Deal</x:v>
      </x:c>
      <x:c r="I14" s="58" t="str">
        <x:v>Same pipeline</x:v>
      </x:c>
      <x:c r="J14" s="58" t="str">
        <x:v>Two snapshot dates</x:v>
      </x:c>
      <x:c r="K14" s="58" t="str">
        <x:v>Snapshot</x:v>
      </x:c>
      <x:c r="L14" s="58" t="str">
        <x:v>deal_id, amount</x:v>
      </x:c>
      <x:c r="M14" s="65" t="str">
        <x:v>RevOps</x:v>
      </x:c>
      <x:c r="N14" s="65" t="str">
        <x:v>Weekly</x:v>
      </x:c>
      <x:c r="O14" s="65" t="str">
        <x:v>Local</x:v>
      </x:c>
      <x:c r="P14" s="65" t="str">
        <x:v>Below need</x:v>
      </x:c>
      <x:c r="Q14" s="65" t="str">
        <x:v>Depends on stable IDs</x:v>
      </x:c>
    </x:row>
    <x:row r="15" ht="15" hidden="0" customHeight="1">
      <x:c r="A15" s="58" t="str">
        <x:v>Pipeline won</x:v>
      </x:c>
      <x:c r="B15" s="58" t="str">
        <x:v>What opening pipeline converted?</x:v>
      </x:c>
      <x:c r="C15" s="58" t="str">
        <x:v>Prior open value now won</x:v>
      </x:c>
      <x:c r="D15" s="58" t="str">
        <x:v>Prior amount</x:v>
      </x:c>
      <x:c r="E15" s="58" t="str">
        <x:v>n.a.</x:v>
      </x:c>
      <x:c r="F15" s="58" t="str">
        <x:v>SUM won</x:v>
      </x:c>
      <x:c r="G15" s="58" t="str">
        <x:v>Currency</x:v>
      </x:c>
      <x:c r="H15" s="58" t="str">
        <x:v>Deal</x:v>
      </x:c>
      <x:c r="I15" s="58" t="str">
        <x:v>Prior open</x:v>
      </x:c>
      <x:c r="J15" s="58" t="str">
        <x:v>Two snapshots</x:v>
      </x:c>
      <x:c r="K15" s="58" t="str">
        <x:v>Snapshot</x:v>
      </x:c>
      <x:c r="L15" s="58" t="str">
        <x:v>deal_id, stage, amount</x:v>
      </x:c>
      <x:c r="M15" s="65" t="str">
        <x:v>Sales</x:v>
      </x:c>
      <x:c r="N15" s="65" t="str">
        <x:v>Weekly</x:v>
      </x:c>
      <x:c r="O15" s="65" t="str">
        <x:v>Local</x:v>
      </x:c>
      <x:c r="P15" s="65" t="str">
        <x:v>Below plan</x:v>
      </x:c>
      <x:c r="Q15" s="65" t="str">
        <x:v>Uses prior value</x:v>
      </x:c>
    </x:row>
    <x:row r="16" ht="15" hidden="0" customHeight="1">
      <x:c r="A16" s="58" t="str">
        <x:v>Pipeline lost</x:v>
      </x:c>
      <x:c r="B16" s="58" t="str">
        <x:v>What opening pipeline was lost?</x:v>
      </x:c>
      <x:c r="C16" s="58" t="str">
        <x:v>Prior open value now lost</x:v>
      </x:c>
      <x:c r="D16" s="58" t="str">
        <x:v>Prior amount</x:v>
      </x:c>
      <x:c r="E16" s="58" t="str">
        <x:v>n.a.</x:v>
      </x:c>
      <x:c r="F16" s="58" t="str">
        <x:v>SUM lost</x:v>
      </x:c>
      <x:c r="G16" s="58" t="str">
        <x:v>Currency</x:v>
      </x:c>
      <x:c r="H16" s="58" t="str">
        <x:v>Deal</x:v>
      </x:c>
      <x:c r="I16" s="58" t="str">
        <x:v>Prior open</x:v>
      </x:c>
      <x:c r="J16" s="58" t="str">
        <x:v>Two snapshots</x:v>
      </x:c>
      <x:c r="K16" s="58" t="str">
        <x:v>Snapshot</x:v>
      </x:c>
      <x:c r="L16" s="58" t="str">
        <x:v>deal_id, stage, amount</x:v>
      </x:c>
      <x:c r="M16" s="65" t="str">
        <x:v>Sales</x:v>
      </x:c>
      <x:c r="N16" s="65" t="str">
        <x:v>Weekly</x:v>
      </x:c>
      <x:c r="O16" s="65" t="str">
        <x:v>Local</x:v>
      </x:c>
      <x:c r="P16" s="65" t="str">
        <x:v>Above tolerance</x:v>
      </x:c>
      <x:c r="Q16" s="65" t="str">
        <x:v>Uses prior value</x:v>
      </x:c>
    </x:row>
    <x:row r="17" ht="15" hidden="0" customHeight="1">
      <x:c r="A17" s="58" t="str">
        <x:v>Pipeline slipped</x:v>
      </x:c>
      <x:c r="B17" s="58" t="str">
        <x:v>Which deals moved later?</x:v>
      </x:c>
      <x:c r="C17" s="58" t="str">
        <x:v>Close date delayed beyond tolerance</x:v>
      </x:c>
      <x:c r="D17" s="58" t="str">
        <x:v>Deal count or amount</x:v>
      </x:c>
      <x:c r="E17" s="58" t="str">
        <x:v>n.a.</x:v>
      </x:c>
      <x:c r="F17" s="58" t="str">
        <x:v>Current date - prior date</x:v>
      </x:c>
      <x:c r="G17" s="58" t="str">
        <x:v>Count/Currency</x:v>
      </x:c>
      <x:c r="H17" s="58" t="str">
        <x:v>Deal</x:v>
      </x:c>
      <x:c r="I17" s="58" t="str">
        <x:v>Open in both</x:v>
      </x:c>
      <x:c r="J17" s="58" t="str">
        <x:v>Two snapshots</x:v>
      </x:c>
      <x:c r="K17" s="58" t="str">
        <x:v>Snapshot</x:v>
      </x:c>
      <x:c r="L17" s="58" t="str">
        <x:v>close date</x:v>
      </x:c>
      <x:c r="M17" s="65" t="str">
        <x:v>Sales</x:v>
      </x:c>
      <x:c r="N17" s="65" t="str">
        <x:v>Weekly</x:v>
      </x:c>
      <x:c r="O17" s="65" t="str">
        <x:v>0</x:v>
      </x:c>
      <x:c r="P17" s="65" t="str">
        <x:v>Above tolerance</x:v>
      </x:c>
      <x:c r="Q17" s="65" t="str">
        <x:v>Needs date discipline</x:v>
      </x:c>
    </x:row>
    <x:row r="18" ht="15" hidden="0" customHeight="1">
      <x:c r="A18" s="58" t="str">
        <x:v>Win rate</x:v>
      </x:c>
      <x:c r="B18" s="58" t="str">
        <x:v>What share of closed outcomes won?</x:v>
      </x:c>
      <x:c r="C18" s="58" t="str">
        <x:v>Won outcomes divided by all closed outcomes</x:v>
      </x:c>
      <x:c r="D18" s="58" t="str">
        <x:v>Won count</x:v>
      </x:c>
      <x:c r="E18" s="58" t="str">
        <x:v>Won + lost count</x:v>
      </x:c>
      <x:c r="F18" s="58" t="str">
        <x:v>Won / outcomes</x:v>
      </x:c>
      <x:c r="G18" s="58" t="str">
        <x:v>Percent</x:v>
      </x:c>
      <x:c r="H18" s="58" t="str">
        <x:v>Cohort</x:v>
      </x:c>
      <x:c r="I18" s="58" t="str">
        <x:v>Close date in period</x:v>
      </x:c>
      <x:c r="J18" s="58" t="str">
        <x:v>Period end</x:v>
      </x:c>
      <x:c r="K18" s="58" t="str">
        <x:v>Deal</x:v>
      </x:c>
      <x:c r="L18" s="58" t="str">
        <x:v>stage, close date</x:v>
      </x:c>
      <x:c r="M18" s="65" t="str">
        <x:v>Sales Ops</x:v>
      </x:c>
      <x:c r="N18" s="65" t="str">
        <x:v>Monthly</x:v>
      </x:c>
      <x:c r="O18" s="65" t="str">
        <x:v>Local</x:v>
      </x:c>
      <x:c r="P18" s="65" t="str">
        <x:v>Below target</x:v>
      </x:c>
      <x:c r="Q18" s="65" t="str">
        <x:v>Small cohorts vary</x:v>
      </x:c>
    </x:row>
    <x:row r="19" ht="15" hidden="0" customHeight="1">
      <x:c r="A19" s="58" t="str">
        <x:v>Average deal size</x:v>
      </x:c>
      <x:c r="B19" s="58" t="str">
        <x:v>What is the average won value?</x:v>
      </x:c>
      <x:c r="C19" s="58" t="str">
        <x:v>Won amount divided by won count</x:v>
      </x:c>
      <x:c r="D19" s="58" t="str">
        <x:v>Won amount</x:v>
      </x:c>
      <x:c r="E19" s="58" t="str">
        <x:v>Won count</x:v>
      </x:c>
      <x:c r="F19" s="58" t="str">
        <x:v>Amount / count</x:v>
      </x:c>
      <x:c r="G19" s="58" t="str">
        <x:v>Currency</x:v>
      </x:c>
      <x:c r="H19" s="58" t="str">
        <x:v>Cohort</x:v>
      </x:c>
      <x:c r="I19" s="58" t="str">
        <x:v>Won deals</x:v>
      </x:c>
      <x:c r="J19" s="58" t="str">
        <x:v>Period end</x:v>
      </x:c>
      <x:c r="K19" s="58" t="str">
        <x:v>Deal</x:v>
      </x:c>
      <x:c r="L19" s="58" t="str">
        <x:v>amount, stage</x:v>
      </x:c>
      <x:c r="M19" s="65" t="str">
        <x:v>Finance</x:v>
      </x:c>
      <x:c r="N19" s="65" t="str">
        <x:v>Monthly</x:v>
      </x:c>
      <x:c r="O19" s="65" t="str">
        <x:v>Local</x:v>
      </x:c>
      <x:c r="P19" s="65" t="str">
        <x:v>Below target</x:v>
      </x:c>
      <x:c r="Q19" s="65" t="str">
        <x:v>Mix-sensitive</x:v>
      </x:c>
    </x:row>
    <x:row r="20" ht="15" hidden="0" customHeight="1">
      <x:c r="A20" s="58" t="str">
        <x:v>Average sales cycle</x:v>
      </x:c>
      <x:c r="B20" s="58" t="str">
        <x:v>How long do wins take?</x:v>
      </x:c>
      <x:c r="C20" s="58" t="str">
        <x:v>Average days from create to close for wins</x:v>
      </x:c>
      <x:c r="D20" s="58" t="str">
        <x:v>Won deal days</x:v>
      </x:c>
      <x:c r="E20" s="58" t="str">
        <x:v>Won count</x:v>
      </x:c>
      <x:c r="F20" s="58" t="str">
        <x:v>AVERAGE(close - create)</x:v>
      </x:c>
      <x:c r="G20" s="58" t="str">
        <x:v>Days</x:v>
      </x:c>
      <x:c r="H20" s="58" t="str">
        <x:v>Cohort</x:v>
      </x:c>
      <x:c r="I20" s="58" t="str">
        <x:v>Won deals</x:v>
      </x:c>
      <x:c r="J20" s="58" t="str">
        <x:v>Period end</x:v>
      </x:c>
      <x:c r="K20" s="58" t="str">
        <x:v>Deal</x:v>
      </x:c>
      <x:c r="L20" s="58" t="str">
        <x:v>create date, close date</x:v>
      </x:c>
      <x:c r="M20" s="65" t="str">
        <x:v>Sales Ops</x:v>
      </x:c>
      <x:c r="N20" s="65" t="str">
        <x:v>Monthly</x:v>
      </x:c>
      <x:c r="O20" s="65" t="str">
        <x:v>Local</x:v>
      </x:c>
      <x:c r="P20" s="65" t="str">
        <x:v>Above target</x:v>
      </x:c>
      <x:c r="Q20" s="65" t="str">
        <x:v>Creation hygiene matters</x:v>
      </x:c>
    </x:row>
    <x:row r="21" ht="15" hidden="0" customHeight="1">
      <x:c r="A21" s="58" t="str">
        <x:v>Sales velocity</x:v>
      </x:c>
      <x:c r="B21" s="58" t="str">
        <x:v>How quickly does pipeline produce value?</x:v>
      </x:c>
      <x:c r="C21" s="58" t="str">
        <x:v>Opportunities x deal size x win rate divided by cycle</x:v>
      </x:c>
      <x:c r="D21" s="58" t="str">
        <x:v>Opportunity value drivers</x:v>
      </x:c>
      <x:c r="E21" s="58" t="str">
        <x:v>Sales-cycle days</x:v>
      </x:c>
      <x:c r="F21" s="58" t="str">
        <x:v>(Opps x size x win rate) / cycle</x:v>
      </x:c>
      <x:c r="G21" s="58" t="str">
        <x:v>Currency/day</x:v>
      </x:c>
      <x:c r="H21" s="58" t="str">
        <x:v>Period</x:v>
      </x:c>
      <x:c r="I21" s="58" t="str">
        <x:v>Qualified cohort</x:v>
      </x:c>
      <x:c r="J21" s="58" t="str">
        <x:v>Period end</x:v>
      </x:c>
      <x:c r="K21" s="58" t="str">
        <x:v>Deals</x:v>
      </x:c>
      <x:c r="L21" s="58" t="str">
        <x:v>count, amount, outcomes, dates</x:v>
      </x:c>
      <x:c r="M21" s="65" t="str">
        <x:v>RevOps</x:v>
      </x:c>
      <x:c r="N21" s="65" t="str">
        <x:v>Monthly</x:v>
      </x:c>
      <x:c r="O21" s="65" t="str">
        <x:v>Local</x:v>
      </x:c>
      <x:c r="P21" s="65" t="str">
        <x:v>Below target</x:v>
      </x:c>
      <x:c r="Q21" s="65" t="str">
        <x:v>Use consistent cohort</x:v>
      </x:c>
    </x:row>
    <x:row r="22" ht="15" hidden="0" customHeight="1">
      <x:c r="A22" s="58" t="str">
        <x:v>Stale deal amount</x:v>
      </x:c>
      <x:c r="B22" s="58" t="str">
        <x:v>How much open value lacks recent activity?</x:v>
      </x:c>
      <x:c r="C22" s="58" t="str">
        <x:v>Open amount beyond threshold</x:v>
      </x:c>
      <x:c r="D22" s="58" t="str">
        <x:v>Stale open amount</x:v>
      </x:c>
      <x:c r="E22" s="58" t="str">
        <x:v>n.a.</x:v>
      </x:c>
      <x:c r="F22" s="58" t="str">
        <x:v>SUM stale amount</x:v>
      </x:c>
      <x:c r="G22" s="58" t="str">
        <x:v>Currency</x:v>
      </x:c>
      <x:c r="H22" s="58" t="str">
        <x:v>Snapshot</x:v>
      </x:c>
      <x:c r="I22" s="58" t="str">
        <x:v>Open deals</x:v>
      </x:c>
      <x:c r="J22" s="58" t="str">
        <x:v>Snapshot date</x:v>
      </x:c>
      <x:c r="K22" s="58" t="str">
        <x:v>Deal</x:v>
      </x:c>
      <x:c r="L22" s="58" t="str">
        <x:v>amount, activity date</x:v>
      </x:c>
      <x:c r="M22" s="65" t="str">
        <x:v>Sales</x:v>
      </x:c>
      <x:c r="N22" s="65" t="str">
        <x:v>Weekly</x:v>
      </x:c>
      <x:c r="O22" s="65" t="str">
        <x:v>0</x:v>
      </x:c>
      <x:c r="P22" s="65" t="str">
        <x:v>Above tolerance</x:v>
      </x:c>
      <x:c r="Q22" s="65" t="str">
        <x:v>Threshold is configurable</x:v>
      </x:c>
    </x:row>
    <x:row r="23" ht="15" hidden="0" customHeight="1">
      <x:c r="A23" s="58" t="str">
        <x:v>Data-quality exceptions</x:v>
      </x:c>
      <x:c r="B23" s="58" t="str">
        <x:v>Can this report be trusted?</x:v>
      </x:c>
      <x:c r="C23" s="58" t="str">
        <x:v>Count of records failing required-field rules</x:v>
      </x:c>
      <x:c r="D23" s="58" t="str">
        <x:v>Exception count</x:v>
      </x:c>
      <x:c r="E23" s="58" t="str">
        <x:v>n.a.</x:v>
      </x:c>
      <x:c r="F23" s="58" t="str">
        <x:v>COUNT flagged rows</x:v>
      </x:c>
      <x:c r="G23" s="58" t="str">
        <x:v>Count</x:v>
      </x:c>
      <x:c r="H23" s="58" t="str">
        <x:v>Snapshot</x:v>
      </x:c>
      <x:c r="I23" s="58" t="str">
        <x:v>Selected pipeline</x:v>
      </x:c>
      <x:c r="J23" s="58" t="str">
        <x:v>Snapshot date</x:v>
      </x:c>
      <x:c r="K23" s="58" t="str">
        <x:v>Deal</x:v>
      </x:c>
      <x:c r="L23" s="58" t="str">
        <x:v>required fields</x:v>
      </x:c>
      <x:c r="M23" s="65" t="str">
        <x:v>RevOps</x:v>
      </x:c>
      <x:c r="N23" s="65" t="str">
        <x:v>Weekly</x:v>
      </x:c>
      <x:c r="O23" s="65" t="str">
        <x:v>0</x:v>
      </x:c>
      <x:c r="P23" s="65" t="str">
        <x:v>Above zero</x:v>
      </x:c>
      <x:c r="Q23" s="65" t="str">
        <x:v>Rules depend on workflow</x:v>
      </x:c>
    </x:row>
  </x:sheetData>
  <x:mergeCells>
    <x:mergeCell ref="A2:Q2"/>
    <x:mergeCell ref="A3:Q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E7EBEF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18" hidden="0" customWidth="1"/>
    <x:col min="3" max="3" width="42" hidden="0" customWidth="1"/>
    <x:col min="4" max="4" width="16" hidden="0" customWidth="1"/>
    <x:col min="5" max="5" width="34" hidden="0" customWidth="1"/>
    <x:col min="6" max="6" width="16" hidden="0" customWidth="1"/>
    <x:col min="7" max="7" width="14" hidden="0" customWidth="1"/>
    <x:col min="8" max="8" width="32" hidden="0" customWidth="1"/>
  </x:cols>
  <x:sheetData>
    <x:row r="2" ht="18" hidden="0" customHeight="1">
      <x:c r="A2" s="57" t="str">
        <x:v>Reporting QA checklist</x:v>
      </x:c>
      <x:c r="B2" s="58"/>
      <x:c r="C2" s="58"/>
      <x:c r="D2" s="58"/>
      <x:c r="E2" s="58"/>
      <x:c r="F2" s="58"/>
      <x:c r="G2" s="58"/>
      <x:c r="H2" s="58"/>
    </x:row>
    <x:row r="3" ht="15" hidden="0" customHeight="1">
      <x:c r="A3" s="59" t="str">
        <x:v>Do not present the pack while a required check is unresolved.</x:v>
      </x:c>
      <x:c r="B3" s="58"/>
      <x:c r="C3" s="58"/>
      <x:c r="D3" s="58"/>
      <x:c r="E3" s="58"/>
      <x:c r="F3" s="58"/>
      <x:c r="G3" s="58"/>
      <x:c r="H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</x:row>
    <x:row r="6" ht="15" hidden="0" customHeight="1">
      <x:c r="A6" s="66" t="str">
        <x:v>check_id</x:v>
      </x:c>
      <x:c r="B6" s="67" t="str">
        <x:v>category</x:v>
      </x:c>
      <x:c r="C6" s="67" t="str">
        <x:v>check</x:v>
      </x:c>
      <x:c r="D6" s="67" t="str">
        <x:v>pass_fail_na</x:v>
      </x:c>
      <x:c r="E6" s="67" t="str">
        <x:v>evidence</x:v>
      </x:c>
      <x:c r="F6" s="67" t="str">
        <x:v>owner</x:v>
      </x:c>
      <x:c r="G6" s="67" t="str">
        <x:v>due_date</x:v>
      </x:c>
      <x:c r="H6" s="68" t="str">
        <x:v>notes</x:v>
      </x:c>
    </x:row>
    <x:row r="7" ht="15" hidden="0" customHeight="1">
      <x:c r="A7" s="58" t="str">
        <x:v>Q01</x:v>
      </x:c>
      <x:c r="B7" s="58" t="str">
        <x:v>Cutoff</x:v>
      </x:c>
      <x:c r="C7" s="58" t="str">
        <x:v>Snapshot dates are fixed and documented</x:v>
      </x:c>
      <x:c r="D7" s="58" t="str">
        <x:v>PASS</x:v>
      </x:c>
      <x:c r="E7" s="58" t="str">
        <x:v>START HERE dates</x:v>
      </x:c>
      <x:c r="F7" s="58" t="str">
        <x:v>RevOps</x:v>
      </x:c>
      <x:c r="G7" s="83"/>
      <x:c r="H7" s="58" t="str"/>
    </x:row>
    <x:row r="8" ht="15" hidden="0" customHeight="1">
      <x:c r="A8" s="58" t="str">
        <x:v>Q02</x:v>
      </x:c>
      <x:c r="B8" s="58" t="str">
        <x:v>Scope</x:v>
      </x:c>
      <x:c r="C8" s="58" t="str">
        <x:v>Pipeline, currency, and closed-stage rules are consistent</x:v>
      </x:c>
      <x:c r="D8" s="58" t="str">
        <x:v>PASS</x:v>
      </x:c>
      <x:c r="E8" s="58" t="str">
        <x:v>START HERE and STAGE MAP</x:v>
      </x:c>
      <x:c r="F8" s="58" t="str">
        <x:v>RevOps</x:v>
      </x:c>
      <x:c r="G8" s="83"/>
      <x:c r="H8" s="58" t="str"/>
    </x:row>
    <x:row r="9" ht="15" hidden="0" customHeight="1">
      <x:c r="A9" s="58" t="str">
        <x:v>Q03</x:v>
      </x:c>
      <x:c r="B9" s="58" t="str">
        <x:v>Grain</x:v>
      </x:c>
      <x:c r="C9" s="58" t="str">
        <x:v>Deal IDs are unique in current export</x:v>
      </x:c>
      <x:c r="D9" s="58" t="str">
        <x:f>IF(COUNTIF('RAW DEALS'!$V$7:$V$29,"DUPLICATE")=0,"PASS","FAIL")</x:f>
        <x:v>PASS</x:v>
      </x:c>
      <x:c r="E9" s="58" t="str">
        <x:v>RAW DEALS deal_id</x:v>
      </x:c>
      <x:c r="F9" s="58" t="str">
        <x:v>RevOps</x:v>
      </x:c>
      <x:c r="G9" s="83"/>
      <x:c r="H9" s="58" t="str"/>
    </x:row>
    <x:row r="10" ht="15" hidden="0" customHeight="1">
      <x:c r="A10" s="58" t="str">
        <x:v>Q04</x:v>
      </x:c>
      <x:c r="B10" s="58" t="str">
        <x:v>Mapping</x:v>
      </x:c>
      <x:c r="C10" s="58" t="str">
        <x:v>Every deal stage is mapped</x:v>
      </x:c>
      <x:c r="D10" s="58" t="str">
        <x:f>IF(COUNTIF('RAW DEALS'!$P$7:$P$30,"UNMAPPED")=0,"PASS","FAIL")</x:f>
        <x:v>PASS</x:v>
      </x:c>
      <x:c r="E10" s="58" t="str">
        <x:v>RAW DEALS stage_order</x:v>
      </x:c>
      <x:c r="F10" s="58" t="str">
        <x:v>RevOps</x:v>
      </x:c>
      <x:c r="G10" s="83"/>
      <x:c r="H10" s="58" t="str"/>
    </x:row>
    <x:row r="11" ht="15" hidden="0" customHeight="1">
      <x:c r="A11" s="58" t="str">
        <x:v>Q05</x:v>
      </x:c>
      <x:c r="B11" s="58" t="str">
        <x:v>Completeness</x:v>
      </x:c>
      <x:c r="C11" s="58" t="str">
        <x:v>Required field exceptions are quantified</x:v>
      </x:c>
      <x:c r="D11" s="58" t="str">
        <x:f>IF(COUNTIF('RAW DEALS'!$U$7:$U$30,"CHECK")=0,"PASS","FAIL")</x:f>
        <x:v>FAIL</x:v>
      </x:c>
      <x:c r="E11" s="58" t="str">
        <x:v>RAW DEALS data_quality_flag</x:v>
      </x:c>
      <x:c r="F11" s="58" t="str">
        <x:v>RevOps</x:v>
      </x:c>
      <x:c r="G11" s="83"/>
      <x:c r="H11" s="58" t="str"/>
    </x:row>
    <x:row r="12" ht="15" hidden="0" customHeight="1">
      <x:c r="A12" s="58" t="str">
        <x:v>Q06</x:v>
      </x:c>
      <x:c r="B12" s="58" t="str">
        <x:v>Reconciliation</x:v>
      </x:c>
      <x:c r="C12" s="58" t="str">
        <x:v>Pipeline bridge difference equals zero</x:v>
      </x:c>
      <x:c r="D12" s="58" t="str">
        <x:f>IF('PIPELINE BRIDGE'!P11=0,"PASS","FAIL")</x:f>
        <x:v>PASS</x:v>
      </x:c>
      <x:c r="E12" s="58" t="str">
        <x:v>PIPELINE BRIDGE difference</x:v>
      </x:c>
      <x:c r="F12" s="58" t="str">
        <x:v>Finance</x:v>
      </x:c>
      <x:c r="G12" s="83"/>
      <x:c r="H12" s="58" t="str"/>
    </x:row>
    <x:row r="13" ht="15" hidden="0" customHeight="1">
      <x:c r="A13" s="58" t="str">
        <x:v>Q07</x:v>
      </x:c>
      <x:c r="B13" s="58" t="str">
        <x:v>Definitions</x:v>
      </x:c>
      <x:c r="C13" s="58" t="str">
        <x:v>Workbook and deck use the same KPI version</x:v>
      </x:c>
      <x:c r="D13" s="65" t="str">
        <x:v>OPEN</x:v>
      </x:c>
      <x:c r="E13" s="65" t="str">
        <x:v>Confirm before deck refresh</x:v>
      </x:c>
      <x:c r="F13" s="65" t="str">
        <x:v>Finance</x:v>
      </x:c>
      <x:c r="G13" s="69"/>
      <x:c r="H13" s="65" t="str"/>
    </x:row>
    <x:row r="14" ht="15" hidden="0" customHeight="1">
      <x:c r="A14" s="58" t="str">
        <x:v>Q08</x:v>
      </x:c>
      <x:c r="B14" s="58" t="str">
        <x:v>Comparability</x:v>
      </x:c>
      <x:c r="C14" s="58" t="str">
        <x:v>Current and prior periods use the same filters</x:v>
      </x:c>
      <x:c r="D14" s="65" t="str">
        <x:v>OPEN</x:v>
      </x:c>
      <x:c r="E14" s="65" t="str">
        <x:v>Confirm export filters</x:v>
      </x:c>
      <x:c r="F14" s="65" t="str">
        <x:v>Sales Ops</x:v>
      </x:c>
      <x:c r="G14" s="69"/>
      <x:c r="H14" s="65" t="str"/>
    </x:row>
    <x:row r="15" ht="15" hidden="0" customHeight="1">
      <x:c r="A15" s="58" t="str">
        <x:v>Q09</x:v>
      </x:c>
      <x:c r="B15" s="58" t="str">
        <x:v>Narrative</x:v>
      </x:c>
      <x:c r="C15" s="58" t="str">
        <x:v>Material variances have evidence and owners</x:v>
      </x:c>
      <x:c r="D15" s="65" t="str">
        <x:v>OPEN</x:v>
      </x:c>
      <x:c r="E15" s="65" t="str">
        <x:v>COMMENTARY</x:v>
      </x:c>
      <x:c r="F15" s="65" t="str">
        <x:v>Leadership</x:v>
      </x:c>
      <x:c r="G15" s="69"/>
      <x:c r="H15" s="65" t="str"/>
    </x:row>
    <x:row r="16" ht="15" hidden="0" customHeight="1">
      <x:c r="A16" s="58" t="str">
        <x:v>Q10</x:v>
      </x:c>
      <x:c r="B16" s="58" t="str">
        <x:v>Privacy</x:v>
      </x:c>
      <x:c r="C16" s="58" t="str">
        <x:v>Sample contains no personal or client data</x:v>
      </x:c>
      <x:c r="D16" s="58" t="str">
        <x:v>PASS</x:v>
      </x:c>
      <x:c r="E16" s="58" t="str">
        <x:v>Fictional company and synthetic IDs</x:v>
      </x:c>
      <x:c r="F16" s="58" t="str">
        <x:v>Owner</x:v>
      </x:c>
      <x:c r="G16" s="83"/>
      <x:c r="H16" s="58" t="str"/>
    </x:row>
  </x:sheetData>
  <x:mergeCells>
    <x:mergeCell ref="A2:H2"/>
    <x:mergeCell ref="A3:H3"/>
  </x:mergeCells>
  <x:conditionalFormatting sqref="D7:D16">
    <x:cfRule type="containsText" dxfId="4" priority="1" operator="containsText" text="FAIL"/>
    <x:cfRule type="containsText" dxfId="5" priority="2" operator="containsText" text="OPEN"/>
  </x:conditionalFormatting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E7EBEF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38" hidden="0" customWidth="1"/>
    <x:col min="4" max="4" width="38" hidden="0" customWidth="1"/>
    <x:col min="5" max="5" width="16" hidden="0" customWidth="1"/>
    <x:col min="6" max="6" width="14" hidden="0" customWidth="1"/>
    <x:col min="7" max="7" width="30" hidden="0" customWidth="1"/>
    <x:col min="8" max="8" width="13" hidden="0" customWidth="1"/>
    <x:col min="9" max="9" width="34" hidden="0" customWidth="1"/>
  </x:cols>
  <x:sheetData>
    <x:row r="2" ht="18" hidden="0" customHeight="1">
      <x:c r="A2" s="57" t="str">
        <x:v>Weekly management review agenda</x:v>
      </x:c>
      <x:c r="B2" s="58"/>
      <x:c r="C2" s="58"/>
      <x:c r="D2" s="58"/>
      <x:c r="E2" s="58"/>
      <x:c r="F2" s="58"/>
      <x:c r="G2" s="58"/>
      <x:c r="H2" s="58"/>
      <x:c r="I2" s="58"/>
    </x:row>
    <x:row r="3" ht="15" hidden="0" customHeight="1">
      <x:c r="A3" s="59" t="str">
        <x:v>Thirty minutes. Finish with decisions, owners, due dates, and evidence needed.</x:v>
      </x:c>
      <x:c r="B3" s="58"/>
      <x:c r="C3" s="58"/>
      <x:c r="D3" s="58"/>
      <x:c r="E3" s="58"/>
      <x:c r="F3" s="58"/>
      <x:c r="G3" s="58"/>
      <x:c r="H3" s="58"/>
      <x:c r="I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</x:row>
    <x:row r="6" ht="15" hidden="0" customHeight="1">
      <x:c r="A6" s="66" t="str">
        <x:v>Minutes</x:v>
      </x:c>
      <x:c r="B6" s="67" t="str">
        <x:v>Agenda item</x:v>
      </x:c>
      <x:c r="C6" s="67" t="str">
        <x:v>Required output</x:v>
      </x:c>
      <x:c r="D6" s="67" t="str">
        <x:v>Decision</x:v>
      </x:c>
      <x:c r="E6" s="67" t="str">
        <x:v>Owner</x:v>
      </x:c>
      <x:c r="F6" s="67" t="str">
        <x:v>Due date</x:v>
      </x:c>
      <x:c r="G6" s="67" t="str">
        <x:v>Evidence needed</x:v>
      </x:c>
      <x:c r="H6" s="67" t="str">
        <x:v>Status</x:v>
      </x:c>
      <x:c r="I6" s="68" t="str">
        <x:v>Notes</x:v>
      </x:c>
    </x:row>
    <x:row r="7" ht="15" hidden="0" customHeight="1">
      <x:c r="A7" s="58" t="str">
        <x:v>0 to 3</x:v>
      </x:c>
      <x:c r="B7" s="58" t="str">
        <x:v>Confirm cutoff and data quality</x:v>
      </x:c>
      <x:c r="C7" s="58" t="str">
        <x:v>Accepted dataset or named blocker</x:v>
      </x:c>
      <x:c r="D7" s="65" t="str"/>
      <x:c r="E7" s="65" t="str">
        <x:v>RevOps</x:v>
      </x:c>
      <x:c r="F7" s="69"/>
      <x:c r="G7" s="65" t="str"/>
      <x:c r="H7" s="65" t="str">
        <x:v>Open</x:v>
      </x:c>
      <x:c r="I7" s="65" t="str"/>
    </x:row>
    <x:row r="8" ht="15" hidden="0" customHeight="1">
      <x:c r="A8" s="58" t="str">
        <x:v>3 to 8</x:v>
      </x:c>
      <x:c r="B8" s="58" t="str">
        <x:v>Revenue, target, and forecast gap</x:v>
      </x:c>
      <x:c r="C8" s="58" t="str">
        <x:v>One quantified gap statement</x:v>
      </x:c>
      <x:c r="D8" s="65" t="str"/>
      <x:c r="E8" s="65" t="str">
        <x:v>Finance</x:v>
      </x:c>
      <x:c r="F8" s="69"/>
      <x:c r="G8" s="65" t="str"/>
      <x:c r="H8" s="65" t="str">
        <x:v>Open</x:v>
      </x:c>
      <x:c r="I8" s="65" t="str"/>
    </x:row>
    <x:row r="9" ht="15" hidden="0" customHeight="1">
      <x:c r="A9" s="58" t="str">
        <x:v>8 to 15</x:v>
      </x:c>
      <x:c r="B9" s="58" t="str">
        <x:v>Pipeline bridge</x:v>
      </x:c>
      <x:c r="C9" s="58" t="str">
        <x:v>Top three changes and explanations</x:v>
      </x:c>
      <x:c r="D9" s="65" t="str"/>
      <x:c r="E9" s="65" t="str">
        <x:v>Sales Ops</x:v>
      </x:c>
      <x:c r="F9" s="69"/>
      <x:c r="G9" s="65" t="str"/>
      <x:c r="H9" s="65" t="str">
        <x:v>Open</x:v>
      </x:c>
      <x:c r="I9" s="65" t="str"/>
    </x:row>
    <x:row r="10" ht="15" hidden="0" customHeight="1">
      <x:c r="A10" s="58" t="str">
        <x:v>15 to 22</x:v>
      </x:c>
      <x:c r="B10" s="58" t="str">
        <x:v>Pipeline health exceptions</x:v>
      </x:c>
      <x:c r="C10" s="58" t="str">
        <x:v>Owners and remediation dates</x:v>
      </x:c>
      <x:c r="D10" s="65" t="str"/>
      <x:c r="E10" s="65" t="str">
        <x:v>Sales</x:v>
      </x:c>
      <x:c r="F10" s="69"/>
      <x:c r="G10" s="65" t="str"/>
      <x:c r="H10" s="65" t="str">
        <x:v>Open</x:v>
      </x:c>
      <x:c r="I10" s="65" t="str"/>
    </x:row>
    <x:row r="11" ht="15" hidden="0" customHeight="1">
      <x:c r="A11" s="58" t="str">
        <x:v>22 to 27</x:v>
      </x:c>
      <x:c r="B11" s="58" t="str">
        <x:v>Coverage and next-period risks</x:v>
      </x:c>
      <x:c r="C11" s="58" t="str">
        <x:v>Agreed interventions</x:v>
      </x:c>
      <x:c r="D11" s="65" t="str"/>
      <x:c r="E11" s="65" t="str">
        <x:v>Leadership</x:v>
      </x:c>
      <x:c r="F11" s="69"/>
      <x:c r="G11" s="65" t="str"/>
      <x:c r="H11" s="65" t="str">
        <x:v>Open</x:v>
      </x:c>
      <x:c r="I11" s="65" t="str"/>
    </x:row>
    <x:row r="12" ht="15" hidden="0" customHeight="1">
      <x:c r="A12" s="58" t="str">
        <x:v>27 to 30</x:v>
      </x:c>
      <x:c r="B12" s="58" t="str">
        <x:v>Decisions and actions</x:v>
      </x:c>
      <x:c r="C12" s="58" t="str">
        <x:v>Decision, owner, due date, evidence</x:v>
      </x:c>
      <x:c r="D12" s="65" t="str"/>
      <x:c r="E12" s="65" t="str">
        <x:v>Chair</x:v>
      </x:c>
      <x:c r="F12" s="69"/>
      <x:c r="G12" s="65" t="str"/>
      <x:c r="H12" s="65" t="str">
        <x:v>Open</x:v>
      </x:c>
      <x:c r="I12" s="65" t="str"/>
    </x:row>
    <x:row r="13" ht="15" hidden="0" customHeight="1">
      <x:c r="A13" s="58"/>
      <x:c r="B13" s="58"/>
      <x:c r="C13" s="58"/>
      <x:c r="D13" s="65"/>
      <x:c r="E13" s="65"/>
      <x:c r="F13" s="69"/>
      <x:c r="G13" s="65"/>
      <x:c r="H13" s="65"/>
      <x:c r="I13" s="65"/>
    </x:row>
  </x:sheetData>
  <x:mergeCells>
    <x:mergeCell ref="A2:I2"/>
    <x:mergeCell ref="A3:I3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E7EBEF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2" hidden="0" customWidth="1"/>
    <x:col min="2" max="2" width="34" hidden="0" customWidth="1"/>
    <x:col min="3" max="3" width="38" hidden="0" customWidth="1"/>
    <x:col min="4" max="4" width="30" hidden="0" customWidth="1"/>
    <x:col min="5" max="5" width="36" hidden="0" customWidth="1"/>
    <x:col min="6" max="6" width="18" hidden="0" customWidth="1"/>
    <x:col min="7" max="7" width="14" hidden="0" customWidth="1"/>
    <x:col min="8" max="8" width="13" hidden="0" customWidth="1"/>
    <x:col min="9" max="9" width="42" hidden="0" customWidth="1"/>
  </x:cols>
  <x:sheetData>
    <x:row r="2" ht="18" hidden="0" customHeight="1">
      <x:c r="A2" s="57" t="str">
        <x:v>Management commentary prompts</x:v>
      </x:c>
      <x:c r="B2" s="58"/>
      <x:c r="C2" s="58"/>
      <x:c r="D2" s="58"/>
      <x:c r="E2" s="58"/>
      <x:c r="F2" s="58"/>
      <x:c r="G2" s="58"/>
      <x:c r="H2" s="58"/>
      <x:c r="I2" s="58"/>
    </x:row>
    <x:row r="3" ht="15" hidden="0" customHeight="1">
      <x:c r="A3" s="59" t="str">
        <x:v>Use one row per material result. Keep every claim tied to evidence and an owner.</x:v>
      </x:c>
      <x:c r="B3" s="58"/>
      <x:c r="C3" s="58"/>
      <x:c r="D3" s="58"/>
      <x:c r="E3" s="58"/>
      <x:c r="F3" s="58"/>
      <x:c r="G3" s="58"/>
      <x:c r="H3" s="58"/>
      <x:c r="I3" s="58"/>
    </x:row>
    <x:row r="4" ht="15" hidden="0" customHeight="1">
      <x:c r="A4" s="60"/>
      <x:c r="B4" s="60"/>
      <x:c r="C4" s="60"/>
      <x:c r="D4" s="60"/>
      <x:c r="E4" s="60"/>
      <x:c r="F4" s="60"/>
      <x:c r="G4" s="60"/>
      <x:c r="H4" s="60"/>
      <x:c r="I4" s="60"/>
    </x:row>
    <x:row r="5" ht="15" hidden="0" customHeight="1">
      <x:c r="A5" s="58"/>
      <x:c r="B5" s="58"/>
      <x:c r="C5" s="58"/>
      <x:c r="D5" s="58"/>
      <x:c r="E5" s="58"/>
      <x:c r="F5" s="58"/>
      <x:c r="G5" s="58"/>
      <x:c r="H5" s="58"/>
      <x:c r="I5" s="58"/>
    </x:row>
    <x:row r="6" ht="15" hidden="0" customHeight="1">
      <x:c r="A6" s="66" t="str">
        <x:v>Topic</x:v>
      </x:c>
      <x:c r="B6" s="67" t="str">
        <x:v>Observation</x:v>
      </x:c>
      <x:c r="C6" s="67" t="str">
        <x:v>Explanation</x:v>
      </x:c>
      <x:c r="D6" s="67" t="str">
        <x:v>Evidence</x:v>
      </x:c>
      <x:c r="E6" s="67" t="str">
        <x:v>Decision</x:v>
      </x:c>
      <x:c r="F6" s="67" t="str">
        <x:v>Owner</x:v>
      </x:c>
      <x:c r="G6" s="67" t="str">
        <x:v>Due date</x:v>
      </x:c>
      <x:c r="H6" s="67" t="str">
        <x:v>Status</x:v>
      </x:c>
      <x:c r="I6" s="68" t="str">
        <x:v>Prompt</x:v>
      </x:c>
    </x:row>
    <x:row r="7" ht="15" hidden="0" customHeight="1">
      <x:c r="A7" s="58" t="str">
        <x:v>Target gap</x:v>
      </x:c>
      <x:c r="B7" s="58" t="str">
        <x:v>Forecast is below target</x:v>
      </x:c>
      <x:c r="C7" s="58" t="str">
        <x:v>Two commit deals slipped</x:v>
      </x:c>
      <x:c r="D7" s="58" t="str">
        <x:v>D-1007 and D-1012</x:v>
      </x:c>
      <x:c r="E7" s="58" t="str">
        <x:v>Validate mutual action plans</x:v>
      </x:c>
      <x:c r="F7" s="58" t="str">
        <x:v>Sales Director</x:v>
      </x:c>
      <x:c r="G7" s="83" t="n">
        <x:v>46289</x:v>
      </x:c>
      <x:c r="H7" s="58" t="str">
        <x:v>Open</x:v>
      </x:c>
      <x:c r="I7" s="58" t="str">
        <x:v>What changed the forecast gap?</x:v>
      </x:c>
    </x:row>
    <x:row r="8" ht="15" hidden="0" customHeight="1">
      <x:c r="A8" s="58" t="str">
        <x:v>Target over-performance</x:v>
      </x:c>
      <x:c r="B8" s="65" t="str"/>
      <x:c r="C8" s="65" t="str"/>
      <x:c r="D8" s="65" t="str"/>
      <x:c r="E8" s="65" t="str"/>
      <x:c r="F8" s="65" t="str"/>
      <x:c r="G8" s="69"/>
      <x:c r="H8" s="65" t="str">
        <x:v>Open</x:v>
      </x:c>
      <x:c r="I8" s="58" t="str">
        <x:v>Is over-performance repeatable or timing-related?</x:v>
      </x:c>
    </x:row>
    <x:row r="9" ht="15" hidden="0" customHeight="1">
      <x:c r="A9" s="58" t="str">
        <x:v>Pipeline creation</x:v>
      </x:c>
      <x:c r="B9" s="65" t="str"/>
      <x:c r="C9" s="65" t="str"/>
      <x:c r="D9" s="65" t="str"/>
      <x:c r="E9" s="65" t="str"/>
      <x:c r="F9" s="65" t="str"/>
      <x:c r="G9" s="69"/>
      <x:c r="H9" s="65" t="str">
        <x:v>Open</x:v>
      </x:c>
      <x:c r="I9" s="58" t="str">
        <x:v>Is newly created pipeline sufficient for the remaining target?</x:v>
      </x:c>
    </x:row>
    <x:row r="10" ht="15" hidden="0" customHeight="1">
      <x:c r="A10" s="58" t="str">
        <x:v>Win rate</x:v>
      </x:c>
      <x:c r="B10" s="65" t="str"/>
      <x:c r="C10" s="65" t="str"/>
      <x:c r="D10" s="65" t="str"/>
      <x:c r="E10" s="65" t="str"/>
      <x:c r="F10" s="65" t="str"/>
      <x:c r="G10" s="69"/>
      <x:c r="H10" s="65" t="str">
        <x:v>Open</x:v>
      </x:c>
      <x:c r="I10" s="58" t="str">
        <x:v>Which cohort and reason changed win rate?</x:v>
      </x:c>
    </x:row>
    <x:row r="11" ht="15" hidden="0" customHeight="1">
      <x:c r="A11" s="58" t="str">
        <x:v>Deal size</x:v>
      </x:c>
      <x:c r="B11" s="65" t="str"/>
      <x:c r="C11" s="65" t="str"/>
      <x:c r="D11" s="65" t="str"/>
      <x:c r="E11" s="65" t="str"/>
      <x:c r="F11" s="65" t="str"/>
      <x:c r="G11" s="69"/>
      <x:c r="H11" s="65" t="str">
        <x:v>Open</x:v>
      </x:c>
      <x:c r="I11" s="58" t="str">
        <x:v>Did mix or true pricing change average deal size?</x:v>
      </x:c>
    </x:row>
    <x:row r="12" ht="15" hidden="0" customHeight="1">
      <x:c r="A12" s="58" t="str">
        <x:v>Close-date slips</x:v>
      </x:c>
      <x:c r="B12" s="65" t="str"/>
      <x:c r="C12" s="65" t="str"/>
      <x:c r="D12" s="65" t="str"/>
      <x:c r="E12" s="65" t="str"/>
      <x:c r="F12" s="65" t="str"/>
      <x:c r="G12" s="69"/>
      <x:c r="H12" s="65" t="str">
        <x:v>Open</x:v>
      </x:c>
      <x:c r="I12" s="58" t="str">
        <x:v>Which slips affect the current forecast?</x:v>
      </x:c>
    </x:row>
    <x:row r="13" ht="15" hidden="0" customHeight="1">
      <x:c r="A13" s="58" t="str">
        <x:v>Stale pipeline</x:v>
      </x:c>
      <x:c r="B13" s="65" t="str"/>
      <x:c r="C13" s="65" t="str"/>
      <x:c r="D13" s="65" t="str"/>
      <x:c r="E13" s="65" t="str"/>
      <x:c r="F13" s="65" t="str"/>
      <x:c r="G13" s="69"/>
      <x:c r="H13" s="65" t="str">
        <x:v>Open</x:v>
      </x:c>
      <x:c r="I13" s="58" t="str">
        <x:v>Which deals should be requalified or removed?</x:v>
      </x:c>
    </x:row>
    <x:row r="14" ht="15" hidden="0" customHeight="1">
      <x:c r="A14" s="58" t="str">
        <x:v>Forecast change</x:v>
      </x:c>
      <x:c r="B14" s="65" t="str"/>
      <x:c r="C14" s="65" t="str"/>
      <x:c r="D14" s="65" t="str"/>
      <x:c r="E14" s="65" t="str"/>
      <x:c r="F14" s="65" t="str"/>
      <x:c r="G14" s="69"/>
      <x:c r="H14" s="65" t="str">
        <x:v>Open</x:v>
      </x:c>
      <x:c r="I14" s="58" t="str">
        <x:v>What changed since the prior fixed cutoff?</x:v>
      </x:c>
    </x:row>
    <x:row r="15" ht="15" hidden="0" customHeight="1">
      <x:c r="A15" s="58" t="str">
        <x:v>Data quality</x:v>
      </x:c>
      <x:c r="B15" s="65" t="str"/>
      <x:c r="C15" s="65" t="str"/>
      <x:c r="D15" s="65" t="str"/>
      <x:c r="E15" s="65" t="str"/>
      <x:c r="F15" s="65" t="str"/>
      <x:c r="G15" s="69"/>
      <x:c r="H15" s="65" t="str">
        <x:v>Open</x:v>
      </x:c>
      <x:c r="I15" s="58" t="str">
        <x:v>Which limitations could change the conclusion?</x:v>
      </x:c>
    </x:row>
    <x:row r="16" ht="15" hidden="0" customHeight="1">
      <x:c r="A16" s="58"/>
      <x:c r="B16" s="65"/>
      <x:c r="C16" s="65"/>
      <x:c r="D16" s="65"/>
      <x:c r="E16" s="65"/>
      <x:c r="F16" s="65"/>
      <x:c r="G16" s="69"/>
      <x:c r="H16" s="65"/>
      <x:c r="I16" s="58"/>
    </x:row>
  </x:sheetData>
  <x:mergeCells>
    <x:mergeCell ref="A2:I2"/>
    <x:mergeCell ref="A3:I3"/>
  </x:mergeCells>
  <x:pageMargins left="0.7" right="0.7" top="0.75" bottom="0.75" header="0.3" footer="0.3"/>
</x:worksheet>
</file>